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E3A16AA-EBC7-460D-A681-F3F7F42EBAEB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<sst xmlns="http://schemas.openxmlformats.org/spreadsheetml/2006/main" count="350" uniqueCount="250">
  <si>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</si>
  <si>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</si>
  <si>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</si>
  <si>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</si>
  <si>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</si>
  <si>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</si>
  <si>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</si>
  <si>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</si>
  <si>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</si>
  <si>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</si>
  <si>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</si>
  <si>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</si>
  <si>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</si>
  <si>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</si>
  <si>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</si>
  <si>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</si>
  <si>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</si>
  <si>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</si>
  <si>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</si>
  <si>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</si>
  <si>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</si>
  <si>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</si>
  <si>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</si>
  <si>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</si>
  <si>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</si>
  <si>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</si>
  <si>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</si>
  <si>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</si>
  <si>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</si>
  <si>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</si>
  <si>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</si>
  <si>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</si>
  <si>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</si>
  <si>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</si>
  <si>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</si>
  <si>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</si>
  <si>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</si>
  <si>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</si>
  <si>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</si>
  <si>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</si>
  <si>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</si>
  <si>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</si>
  <si>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</si>
  <si>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</si>
  <si>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</si>
  <si>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</si>
  <si>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</si>
  <si>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</si>
  <si>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</si>
  <si>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</si>
  <si>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</si>
  <si>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</si>
  <si>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</si>
  <si>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</si>
  <si>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</si>
  <si>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</si>
  <si>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</si>
  <si>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</si>
  <si>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</si>
  <si>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</si>
  <si>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</si>
  <si>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</si>
  <si>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</si>
  <si>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</si>
  <si>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</si>
  <si>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</si>
  <si>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</si>
  <si>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</si>
  <si>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</si>
  <si>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</si>
  <si>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</si>
  <si>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</si>
  <si>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</si>
  <si>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</si>
  <si>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</si>
  <si>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</si>
  <si>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</si>
  <si>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</si>
  <si>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</si>
  <si>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</si>
  <si>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</si>
  <si>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</si>
  <si>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</si>
  <si>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</si>
  <si>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</si>
  <si>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</si>
  <si>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</si>
  <si>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</si>
  <si>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</si>
  <si>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</si>
  <si>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</si>
  <si>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</si>
  <si>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</si>
  <si>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</si>
  <si>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</si>
  <si>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</si>
  <si>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</si>
  <si>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</si>
  <si>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</si>
  <si>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</si>
  <si>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</si>
  <si>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</si>
  <si>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</si>
  <si>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</si>
  <si>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</si>
  <si>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</si>
  <si>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</si>
  <si>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</si>
  <si>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</si>
  <si>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</si>
  <si>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</si>
  <si>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</si>
  <si>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</si>
  <si>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</si>
  <si>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</si>
  <si>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</si>
  <si>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</si>
  <si>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</si>
  <si>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</si>
  <si>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</si>
  <si>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</si>
  <si>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</si>
  <si>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</si>
  <si>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</si>
  <si>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</si>
  <si>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</si>
  <si>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</si>
  <si>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</si>
  <si>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</si>
  <si>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</si>
  <si>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</si>
  <si>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</si>
  <si>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</si>
  <si>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</si>
  <si>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</si>
  <si>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</si>
  <si>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</si>
  <si>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</si>
  <si>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</si>
  <si>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</si>
  <si>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</si>
  <si>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</si>
  <si>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</si>
  <si>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</si>
  <si>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</si>
  <si>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</si>
  <si>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</si>
  <si>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</si>
  <si>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</si>
  <si>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</si>
  <si>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</si>
  <si>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</si>
  <si>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</si>
  <si>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</si>
  <si>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</si>
  <si>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</si>
  <si>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</si>
  <si>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</si>
  <si>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</si>
  <si>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</si>
  <si>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</si>
  <si>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</si>
  <si>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</si>
  <si>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</si>
  <si>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</si>
  <si>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</si>
  <si>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</si>
  <si>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</si>
  <si>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</si>
  <si>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</si>
  <si>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</si>
  <si>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</si>
  <si>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</si>
  <si>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</si>
  <si>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</si>
  <si>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</si>
  <si>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</si>
  <si>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</si>
  <si>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</si>
  <si>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</si>
  <si>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</si>
  <si>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</si>
  <si>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</si>
  <si>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</si>
  <si>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</si>
  <si>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</si>
  <si>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</si>
  <si>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</si>
  <si>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</si>
  <si>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</si>
  <si>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</si>
  <si>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</si>
  <si>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</si>
  <si>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</si>
  <si>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</si>
  <si>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</si>
  <si>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</si>
  <si>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</si>
  <si>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</si>
  <si>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</si>
  <si>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</si>
  <si>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</si>
  <si>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</si>
  <si>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</si>
  <si>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</si>
  <si>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</si>
  <si>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</si>
  <si>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</si>
  <si>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</si>
  <si>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</si>
  <si>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</si>
  <si>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</si>
  <si>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</si>
  <si>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</si>
  <si>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</si>
  <si>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</si>
  <si>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</si>
  <si>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</si>
  <si>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</si>
  <si>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</si>
  <si>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</si>
  <si>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</si>
  <si>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</si>
  <si>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</si>
  <si>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</si>
  <si>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</si>
  <si>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</si>
  <si>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</si>
  <si>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</si>
  <si>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</si>
  <si>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</si>
  <si>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</si>
  <si>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</si>
  <si>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</si>
  <si>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</si>
  <si>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</si>
  <si>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</si>
  <si>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</si>
  <si>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</si>
  <si>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</si>
  <si>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</si>
  <si>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</si>
  <si>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</si>
  <si>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</si>
  <si>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</si>
  <si>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</si>
  <si>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招商银行</t>
    <phoneticPr fontId="20" type="noConversion"/>
  </si>
  <si>
    <t>3968.HK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</si>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</sst>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9" sqref="C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3968.HK</v>
      </c>
      <c r="D3" s="246"/>
      <c r="E3" s="87"/>
      <c r="F3" s="3" t="s">
        <v>1</v>
      </c>
      <c r="G3" s="133">
        <v>38.450000762939503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招商银行</v>
      </c>
      <c r="D4" s="248"/>
      <c r="E4" s="87"/>
      <c r="F4" s="3" t="s">
        <v>3</v>
      </c>
      <c r="G4" s="251">
        <f>Inputs!C10</f>
        <v>25219845601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969703.08259966655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1.8627626781429586E-2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0.25828274030620524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0.34356507928375646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0.14733316059693541</v>
      </c>
    </row>
    <row r="25" spans="1:8" ht="15.75" customHeight="1" x14ac:dyDescent="0.4">
      <c r="B25" s="138" t="s">
        <v>208</v>
      </c>
      <c r="C25" s="177">
        <f>Fin_Analysis!I82</f>
        <v>2.9971565437917872E-3</v>
      </c>
      <c r="F25" s="141" t="s">
        <v>188</v>
      </c>
      <c r="G25" s="177">
        <f>Fin_Analysis!I88</f>
        <v>0.37595321915064656</v>
      </c>
    </row>
    <row r="26" spans="1:8" ht="15.75" customHeight="1" x14ac:dyDescent="0.4">
      <c r="B26" s="139" t="s">
        <v>187</v>
      </c>
      <c r="C26" s="177">
        <f>Fin_Analysis!I83</f>
        <v>0.37652739708481697</v>
      </c>
      <c r="F26" s="142" t="s">
        <v>210</v>
      </c>
      <c r="G26" s="184">
        <f>Fin_Analysis!H88*Exchange_Rate/G3</f>
        <v>5.5390376014057066E-2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17.330740730181272</v>
      </c>
      <c r="D29" s="130">
        <f>IF(Fin_Analysis!C108="Profit",Fin_Analysis!I100,IF(Fin_Analysis!C108="Dividend",Fin_Analysis!I103,Fin_Analysis!I106))</f>
        <v>29.654975021189465</v>
      </c>
      <c r="E29" s="87"/>
      <c r="F29" s="132">
        <f>IF(Fin_Analysis!C108="Profit",Fin_Analysis!F100,IF(Fin_Analysis!C108="Dividend",Fin_Analysis!F103,Fin_Analysis!F106))</f>
        <v>23.723980016951572</v>
      </c>
      <c r="G29" s="242">
        <f>IF(Fin_Analysis!C108="Profit",Fin_Analysis!H100,IF(Fin_Analysis!C108="Dividend",Fin_Analysis!H103,Fin_Analysis!H106))</f>
        <v>23.723980016951572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1" sqref="F11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F4" s="201" t="s">
        <v>227</v>
      </c>
    </row>
    <row r="5" spans="1:6" ht="13.9" x14ac:dyDescent="0.4">
      <c r="B5" s="142" t="s">
        <v>212</v>
      </c>
      <c r="C5" s="240" t="s">
        <v>246</v>
      </c>
      <c r="E5" s="231">
        <f>C18</f>
        <v>45291</v>
      </c>
      <c r="F5" s="232">
        <v>1.972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f>F5</f>
        <v>1.972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25219845601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468444</v>
      </c>
      <c r="D19" s="152">
        <v>456752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8726</v>
      </c>
      <c r="D20" s="153">
        <v>9097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120991</v>
      </c>
      <c r="D21" s="153">
        <v>122061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160941</v>
      </c>
      <c r="D26" s="153">
        <v>135145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1404</v>
      </c>
      <c r="D27" s="153">
        <v>1282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4" sqref="C1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175914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468444</v>
      </c>
      <c r="D6" s="209">
        <f>IF(Inputs!D19="","",Inputs!D19)</f>
        <v>456752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8726</v>
      </c>
      <c r="D8" s="208">
        <f>IF(Inputs!D20="","",Inputs!D20)</f>
        <v>9097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459718</v>
      </c>
      <c r="D9" s="154">
        <f t="shared" si="2"/>
        <v>447655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120991</v>
      </c>
      <c r="D10" s="208">
        <f>IF(Inputs!D21="","",Inputs!D21)</f>
        <v>122061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338727</v>
      </c>
      <c r="D13" s="154">
        <f t="shared" ref="D13:M13" si="4">IF(D6="","",(D9-D10+MAX(D12,0)))</f>
        <v>325594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160941</v>
      </c>
      <c r="D17" s="208">
        <f>IF(Inputs!D26="","",Inputs!D26)</f>
        <v>135145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1404</v>
      </c>
      <c r="D18" s="208">
        <f>IF(Inputs!D27="","",Inputs!D27)</f>
        <v>1282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175914</v>
      </c>
      <c r="D19" s="237">
        <f>IF(D6="","",D9-D10-MAX(D17,0)-MAX(D18,0)/(1-Fin_Analysis!$I$84))</f>
        <v>188739.66666666666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-6.7954272110261171E-2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175914</v>
      </c>
      <c r="D21" s="77">
        <f>IF(D6="","",D13-MAX(D14,0)-MAX(D15,0)-MAX(D16,0)-MAX(D17,0)-MAX(D18,0)/(1-Fin_Analysis!$I$84))</f>
        <v>188739.66666666666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-6.7954272110261171E-2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0.2816462586776648</v>
      </c>
      <c r="D23" s="157">
        <f t="shared" si="7"/>
        <v>0.30991599379969875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131935.5</v>
      </c>
      <c r="D24" s="77">
        <f>IF(D6="","",D21*(1-Fin_Analysis!$I$84))</f>
        <v>141554.75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-6.7954272110261227E-2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1.8627626781429586E-2</v>
      </c>
      <c r="D42" s="161">
        <f t="shared" si="33"/>
        <v>1.9916716292430029E-2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0.25828274030620524</v>
      </c>
      <c r="D43" s="157">
        <f t="shared" ref="D43:M43" si="34">IF(D6="","",(D10-MAX(D12,0))/D6)</f>
        <v>0.26723692507093566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0.34356507928375646</v>
      </c>
      <c r="D46" s="157">
        <f t="shared" ref="D46:M46" si="37">IF(D6="","",MAX(D17,0)/D6)</f>
        <v>0.29588266718043926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3.9962087250557162E-3</v>
      </c>
      <c r="D47" s="157">
        <f>IF(D6="","",MAX(D18,0)/(1-Fin_Analysis!$I$84)/D6)</f>
        <v>3.7423663899300566E-3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0.37552834490355302</v>
      </c>
      <c r="D48" s="157">
        <f t="shared" si="38"/>
        <v>0.41322132506626497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0.91488454585763501</v>
      </c>
      <c r="D55" s="157">
        <f t="shared" ref="D55:M55" si="43">IF(D21="","",IF(MAX(D17,0)&lt;=0,"-",D17/D21))</f>
        <v>0.71603920038006497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H92" sqref="H92:I9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468444</v>
      </c>
      <c r="D74" s="218"/>
      <c r="E74" s="205">
        <f>H74</f>
        <v>468444</v>
      </c>
      <c r="F74" s="218"/>
      <c r="H74" s="205">
        <f>C74</f>
        <v>468444</v>
      </c>
      <c r="I74" s="218"/>
      <c r="K74" s="24"/>
    </row>
    <row r="75" spans="1:11" ht="15" customHeight="1" x14ac:dyDescent="0.4">
      <c r="B75" s="105" t="s">
        <v>109</v>
      </c>
      <c r="C75" s="77">
        <f>Data!C8</f>
        <v>8726</v>
      </c>
      <c r="D75" s="164">
        <f>C75/$C$74</f>
        <v>1.8627626781429586E-2</v>
      </c>
      <c r="E75" s="186">
        <f>E74*F75</f>
        <v>8726</v>
      </c>
      <c r="F75" s="165">
        <f>I75</f>
        <v>1.8627626781429586E-2</v>
      </c>
      <c r="H75" s="205">
        <f>D75*H74</f>
        <v>8726</v>
      </c>
      <c r="I75" s="165">
        <f>H75/$H$74</f>
        <v>1.8627626781429586E-2</v>
      </c>
      <c r="K75" s="24"/>
    </row>
    <row r="76" spans="1:11" ht="15" customHeight="1" x14ac:dyDescent="0.4">
      <c r="B76" s="35" t="s">
        <v>96</v>
      </c>
      <c r="C76" s="166">
        <f>C74-C75</f>
        <v>459718</v>
      </c>
      <c r="D76" s="219"/>
      <c r="E76" s="167">
        <f>E74-E75</f>
        <v>459718</v>
      </c>
      <c r="F76" s="219"/>
      <c r="H76" s="167">
        <f>H74-H75</f>
        <v>459718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120991</v>
      </c>
      <c r="D77" s="164">
        <f>C77/$C$74</f>
        <v>0.25828274030620524</v>
      </c>
      <c r="E77" s="186">
        <f>E74*F77</f>
        <v>120991</v>
      </c>
      <c r="F77" s="165">
        <f>I77</f>
        <v>0.25828274030620524</v>
      </c>
      <c r="H77" s="205">
        <f>D77*H74</f>
        <v>120991</v>
      </c>
      <c r="I77" s="165">
        <f>H77/$H$74</f>
        <v>0.25828274030620524</v>
      </c>
      <c r="K77" s="24"/>
    </row>
    <row r="78" spans="1:11" ht="15" customHeight="1" x14ac:dyDescent="0.4">
      <c r="B78" s="35" t="s">
        <v>97</v>
      </c>
      <c r="C78" s="166">
        <f>C76-C77</f>
        <v>338727</v>
      </c>
      <c r="D78" s="219"/>
      <c r="E78" s="167">
        <f>E76-E77</f>
        <v>338727</v>
      </c>
      <c r="F78" s="219"/>
      <c r="H78" s="167">
        <f>H76-H77</f>
        <v>338727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160941</v>
      </c>
      <c r="D79" s="164">
        <f>C79/$C$74</f>
        <v>0.34356507928375646</v>
      </c>
      <c r="E79" s="186">
        <f>E74*F79</f>
        <v>160941</v>
      </c>
      <c r="F79" s="165">
        <f t="shared" ref="F79:F84" si="3">I79</f>
        <v>0.34356507928375646</v>
      </c>
      <c r="H79" s="205">
        <f>C79</f>
        <v>160941</v>
      </c>
      <c r="I79" s="165">
        <f>H79/$H$74</f>
        <v>0.34356507928375646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1404</v>
      </c>
      <c r="D82" s="164">
        <f>C82/$C$74</f>
        <v>2.9971565437917872E-3</v>
      </c>
      <c r="E82" s="186">
        <f>E74*F82</f>
        <v>1404</v>
      </c>
      <c r="F82" s="165">
        <f t="shared" si="3"/>
        <v>2.9971565437917872E-3</v>
      </c>
      <c r="H82" s="205">
        <f>H74*D82</f>
        <v>1404</v>
      </c>
      <c r="I82" s="165">
        <f>H82/$H$74</f>
        <v>2.9971565437917872E-3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176382</v>
      </c>
      <c r="D83" s="169">
        <f>C83/$C$74</f>
        <v>0.37652739708481697</v>
      </c>
      <c r="E83" s="170">
        <f>E78-E79-E80-E81-E82</f>
        <v>176382</v>
      </c>
      <c r="F83" s="169">
        <f>E83/E74</f>
        <v>0.37652739708481697</v>
      </c>
      <c r="H83" s="170">
        <f>H78-H79-H80-H81-H82</f>
        <v>176382</v>
      </c>
      <c r="I83" s="169">
        <f>H83/$H$74</f>
        <v>0.37652739708481697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132286.5</v>
      </c>
      <c r="D85" s="171">
        <f>C85/$C$74</f>
        <v>0.2823955478136127</v>
      </c>
      <c r="E85" s="172">
        <f>E83*(1-F84)</f>
        <v>132286.5</v>
      </c>
      <c r="F85" s="171">
        <f>E85/E74</f>
        <v>0.2823955478136127</v>
      </c>
      <c r="H85" s="172">
        <f>H83*(1-I84)</f>
        <v>132286.5</v>
      </c>
      <c r="I85" s="171">
        <f>H85/$H$74</f>
        <v>0.2823955478136127</v>
      </c>
      <c r="K85" s="24"/>
    </row>
    <row r="86" spans="1:11" ht="15" customHeight="1" x14ac:dyDescent="0.4">
      <c r="B86" s="87" t="s">
        <v>172</v>
      </c>
      <c r="C86" s="173">
        <f>C85*Data!C4/Common_Shares</f>
        <v>5.245333460517088</v>
      </c>
      <c r="D86" s="218"/>
      <c r="E86" s="174">
        <f>E85*Data!C4/Common_Shares</f>
        <v>5.245333460517088</v>
      </c>
      <c r="F86" s="218"/>
      <c r="H86" s="174">
        <f>H85*Data!C4/Common_Shares</f>
        <v>5.245333460517088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0.14733316059693541</v>
      </c>
      <c r="D87" s="218"/>
      <c r="E87" s="239">
        <f>E86*Exchange_Rate/Dashboard!G3</f>
        <v>0.14733316059693541</v>
      </c>
      <c r="F87" s="218"/>
      <c r="H87" s="239">
        <f>H86*Exchange_Rate/Dashboard!G3</f>
        <v>0.14733316059693541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1.972</v>
      </c>
      <c r="D88" s="171">
        <f>C88/C86</f>
        <v>0.37595321915064656</v>
      </c>
      <c r="E88" s="204">
        <f>H88</f>
        <v>1.972</v>
      </c>
      <c r="F88" s="171">
        <f>E88/E86</f>
        <v>0.37595321915064656</v>
      </c>
      <c r="H88" s="176">
        <f>Inputs!F6</f>
        <v>1.972</v>
      </c>
      <c r="I88" s="171">
        <f>H88/H86</f>
        <v>0.37595321915064656</v>
      </c>
      <c r="K88" s="24"/>
    </row>
    <row r="89" spans="1:11" ht="15" customHeight="1" x14ac:dyDescent="0.4">
      <c r="B89" s="87" t="s">
        <v>249</v>
      </c>
      <c r="C89" s="165">
        <f>C88*Exchange_Rate/Dashboard!G3</f>
        <v>5.5390376014057066E-2</v>
      </c>
      <c r="D89" s="218"/>
      <c r="E89" s="165">
        <f>E88*Exchange_Rate/Dashboard!G3</f>
        <v>5.5390376014057066E-2</v>
      </c>
      <c r="F89" s="218"/>
      <c r="H89" s="165">
        <f>H88*Exchange_Rate/Dashboard!G3</f>
        <v>5.5390376014057066E-2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130.35594584583677</v>
      </c>
      <c r="H93" s="87" t="s">
        <v>229</v>
      </c>
      <c r="I93" s="146">
        <f>FV(H87,D93,0,-(H86/C93))</f>
        <v>130.35594584583677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32.27621290032323</v>
      </c>
      <c r="H94" s="87" t="s">
        <v>230</v>
      </c>
      <c r="I94" s="146">
        <f>FV(H89,D93,0,-(H88/C93))</f>
        <v>32.27621290032323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2416452.4109069728</v>
      </c>
      <c r="E97" s="124">
        <f>PV(C94,D93,0,-F93)*Exchange_Rate</f>
        <v>69.99473906894211</v>
      </c>
      <c r="F97" s="124">
        <f>PV(C93,D93,0,-F93)*Exchange_Rate</f>
        <v>95.815511686207827</v>
      </c>
      <c r="H97" s="124">
        <f>PV(C93,D93,0,-I93)*Exchange_Rate</f>
        <v>95.815511686207827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2416452.4109069728</v>
      </c>
      <c r="E100" s="110">
        <f>MAX(E97-H98+F99,0)</f>
        <v>69.99473906894211</v>
      </c>
      <c r="F100" s="110">
        <f>MAX(F97-H98+F99,0)</f>
        <v>95.815511686207827</v>
      </c>
      <c r="H100" s="110">
        <f>MAX(C100*Data!$C$4/Common_Shares,0)</f>
        <v>95.815511686207827</v>
      </c>
      <c r="I100" s="110">
        <f>H100*1.25</f>
        <v>119.76938960775979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598315.11306872801</v>
      </c>
      <c r="E103" s="110">
        <f>PV(C94,D93,0,-F94)*Exchange_Rate</f>
        <v>17.330740730181272</v>
      </c>
      <c r="F103" s="124">
        <f>PV(C93,D93,0,-F94)*Exchange_Rate</f>
        <v>23.723980016951572</v>
      </c>
      <c r="H103" s="124">
        <f>PV(C93,D93,0,-I94)*Exchange_Rate</f>
        <v>23.723980016951572</v>
      </c>
      <c r="I103" s="110">
        <f>H103*1.25</f>
        <v>29.654975021189465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1507383.7619878503</v>
      </c>
      <c r="E106" s="110">
        <f>(E100+E103)/2</f>
        <v>43.662739899561693</v>
      </c>
      <c r="F106" s="124">
        <f>(F100+F103)/2</f>
        <v>59.7697458515797</v>
      </c>
      <c r="H106" s="124">
        <f>(H100+H103)/2</f>
        <v>59.7697458515797</v>
      </c>
      <c r="I106" s="110">
        <f>H106*1.25</f>
        <v>74.712182314474632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2024-11-13T08:35:59Z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