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DAABE047-1C31-4534-8EB3-8A4499A1BBA4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E88" i="3"/>
  <c r="C87" i="3"/>
  <c r="F36" i="3"/>
  <c r="F37" i="3"/>
  <c r="F35" i="3"/>
  <c r="F20" i="3"/>
  <c r="F19" i="3"/>
  <c r="F5" i="4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<sst xmlns="http://schemas.openxmlformats.org/spreadsheetml/2006/main" count="350" uniqueCount="250">
  <si>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</si>
  <si>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</si>
  <si>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</si>
  <si>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</si>
  <si>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</si>
  <si>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</si>
  <si>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</si>
  <si>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</si>
  <si>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</si>
  <si>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</si>
  <si>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</si>
  <si>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</si>
  <si>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</si>
  <si>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</si>
  <si>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</si>
  <si>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</si>
  <si>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</si>
  <si>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</si>
  <si>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</si>
  <si>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</si>
  <si>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</si>
  <si>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</si>
  <si>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</si>
  <si>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</si>
  <si>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</si>
  <si>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</si>
  <si>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</si>
  <si>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</si>
  <si>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</si>
  <si>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</si>
  <si>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</si>
  <si>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</si>
  <si>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</si>
  <si>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</si>
  <si>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</si>
  <si>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</si>
  <si>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</si>
  <si>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</si>
  <si>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</si>
  <si>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</si>
  <si>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</si>
  <si>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</si>
  <si>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</si>
  <si>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</si>
  <si>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</si>
  <si>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</si>
  <si>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</si>
  <si>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</si>
  <si>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</si>
  <si>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</si>
  <si>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</si>
  <si>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</si>
  <si>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</si>
  <si>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</si>
  <si>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</si>
  <si>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</si>
  <si>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</si>
  <si>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</si>
  <si>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</si>
  <si>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</si>
  <si>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</si>
  <si>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</si>
  <si>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</si>
  <si>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</si>
  <si>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</si>
  <si>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</si>
  <si>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</si>
  <si>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</si>
  <si>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</si>
  <si>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</si>
  <si>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</si>
  <si>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</si>
  <si>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</si>
  <si>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</si>
  <si>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</si>
  <si>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</si>
  <si>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</si>
  <si>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</si>
  <si>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</si>
  <si>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</si>
  <si>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</si>
  <si>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</si>
  <si>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</si>
  <si>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</si>
  <si>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</si>
  <si>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</si>
  <si>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</si>
  <si>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</si>
  <si>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</si>
  <si>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</si>
  <si>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</si>
  <si>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</si>
  <si>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</si>
  <si>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</si>
  <si>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</si>
  <si>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</si>
  <si>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</si>
  <si>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</si>
  <si>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</si>
  <si>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</si>
  <si>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</si>
  <si>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</si>
  <si>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</si>
  <si>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</si>
  <si>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</si>
  <si>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</si>
  <si>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</si>
  <si>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</si>
  <si>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</si>
  <si>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</si>
  <si>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</si>
  <si>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</si>
  <si>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</si>
  <si>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</si>
  <si>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</si>
  <si>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</si>
  <si>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</si>
  <si>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</si>
  <si>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</si>
  <si>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</si>
  <si>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</si>
  <si>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</si>
  <si>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</si>
  <si>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</si>
  <si>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</si>
  <si>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</si>
  <si>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</si>
  <si>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</si>
  <si>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</si>
  <si>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</si>
  <si>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</si>
  <si>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</si>
  <si>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</si>
  <si>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</si>
  <si>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</si>
  <si>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</si>
  <si>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</si>
  <si>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</si>
  <si>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</si>
  <si>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</si>
  <si>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</si>
  <si>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</si>
  <si>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</si>
  <si>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</si>
  <si>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</si>
  <si>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</si>
  <si>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</si>
  <si>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</si>
  <si>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</si>
  <si>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</si>
  <si>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</si>
  <si>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</si>
  <si>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</si>
  <si>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</si>
  <si>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</si>
  <si>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</si>
  <si>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</si>
  <si>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</si>
  <si>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</si>
  <si>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</si>
  <si>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</si>
  <si>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</si>
  <si>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</si>
  <si>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</si>
  <si>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</si>
  <si>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</si>
  <si>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</si>
  <si>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</si>
  <si>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</si>
  <si>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</si>
  <si>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</si>
  <si>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</si>
  <si>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</si>
  <si>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</si>
  <si>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</si>
  <si>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</si>
  <si>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</si>
  <si>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</si>
  <si>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</si>
  <si>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</si>
  <si>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</si>
  <si>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</si>
  <si>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</si>
  <si>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</si>
  <si>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</si>
  <si>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</si>
  <si>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</si>
  <si>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</si>
  <si>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</si>
  <si>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</si>
  <si>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</si>
  <si>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</si>
  <si>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</si>
  <si>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</si>
  <si>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</si>
  <si>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</si>
  <si>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</si>
  <si>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</si>
  <si>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</si>
  <si>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</si>
  <si>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</si>
  <si>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</si>
  <si>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</si>
  <si>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</si>
  <si>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</si>
  <si>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</si>
  <si>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</si>
  <si>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</si>
  <si>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</si>
  <si>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</si>
  <si>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</si>
  <si>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</si>
  <si>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</si>
  <si>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</si>
  <si>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</si>
  <si>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</si>
  <si>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</si>
  <si>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</si>
  <si>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</si>
  <si>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</si>
  <si>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</si>
  <si>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</si>
  <si>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</si>
  <si>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</si>
  <si>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</si>
  <si>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</si>
  <si>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</si>
  <si>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</si>
  <si>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</si>
  <si>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</si>
  <si>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</si>
  <si>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</si>
  <si>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</si>
  <si>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</si>
  <si>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</si>
  <si>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</si>
  <si>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</si>
  <si>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</si>
  <si>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</si>
  <si>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</si>
  <si>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</si>
  <si>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</si>
  <si>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</si>
  <si>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6601.HK</t>
    <phoneticPr fontId="20" type="noConversion"/>
  </si>
  <si>
    <t>朝云集团</t>
    <phoneticPr fontId="20" type="noConversion"/>
  </si>
  <si>
    <t>C0007</t>
    <phoneticPr fontId="20" type="noConversion"/>
  </si>
  <si>
    <t>CNY</t>
  </si>
  <si>
    <t>CN</t>
  </si>
  <si>
    <t>Avg</t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</si>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</sst>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13" sqref="D13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6601.HK</v>
      </c>
      <c r="D3" s="246"/>
      <c r="E3" s="87"/>
      <c r="F3" s="3" t="s">
        <v>1</v>
      </c>
      <c r="G3" s="133">
        <v>1.9700000286102299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朝云集团</v>
      </c>
      <c r="D4" s="248"/>
      <c r="E4" s="87"/>
      <c r="F4" s="3" t="s">
        <v>3</v>
      </c>
      <c r="G4" s="251">
        <f>Inputs!C10</f>
        <v>1333333500</v>
      </c>
      <c r="H4" s="251"/>
      <c r="I4" s="39"/>
    </row>
    <row r="5" spans="1:10" ht="15.75" customHeight="1" x14ac:dyDescent="0.4">
      <c r="B5" s="3" t="s">
        <v>175</v>
      </c>
      <c r="C5" s="249">
        <f>Inputs!C6</f>
        <v>45593</v>
      </c>
      <c r="D5" s="250"/>
      <c r="E5" s="34"/>
      <c r="F5" s="35" t="s">
        <v>102</v>
      </c>
      <c r="G5" s="243">
        <f>G3*G4/1000000</f>
        <v>2626.6670331469777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C0007</v>
      </c>
      <c r="E7" s="87"/>
      <c r="F7" s="35" t="s">
        <v>6</v>
      </c>
      <c r="G7" s="134">
        <v>1.08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0.55541924442229906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0.35722663926689097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6.208277497005729E-4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9.4776814590380575E-3</v>
      </c>
      <c r="F23" s="141" t="s">
        <v>204</v>
      </c>
      <c r="G23" s="183">
        <f>G3/(Data!C36*Data!C4/Common_Shares*Exchange_Rate)</f>
        <v>0.80339098599200875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3.7811164775235745E-2</v>
      </c>
    </row>
    <row r="25" spans="1:8" ht="15.75" customHeight="1" x14ac:dyDescent="0.4">
      <c r="B25" s="138" t="s">
        <v>208</v>
      </c>
      <c r="C25" s="177">
        <f>Fin_Analysis!I82</f>
        <v>1.3611168709786237E-3</v>
      </c>
      <c r="F25" s="141" t="s">
        <v>188</v>
      </c>
      <c r="G25" s="177">
        <f>Fin_Analysis!I88</f>
        <v>1.7079799076777531</v>
      </c>
    </row>
    <row r="26" spans="1:8" ht="15.75" customHeight="1" x14ac:dyDescent="0.4">
      <c r="B26" s="139" t="s">
        <v>187</v>
      </c>
      <c r="C26" s="177">
        <f>Fin_Analysis!I83</f>
        <v>7.5894490231092765E-2</v>
      </c>
      <c r="F26" s="142" t="s">
        <v>210</v>
      </c>
      <c r="G26" s="184">
        <f>Fin_Analysis!H88*Exchange_Rate/G3</f>
        <v>6.458070972199545E-2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1.5018465790258131</v>
      </c>
      <c r="D29" s="130">
        <f>IF(Fin_Analysis!C108="Profit",Fin_Analysis!I100,IF(Fin_Analysis!C108="Dividend",Fin_Analysis!I103,Fin_Analysis!I106))</f>
        <v>2.4060044741182667</v>
      </c>
      <c r="E29" s="87"/>
      <c r="F29" s="132">
        <f>IF(Fin_Analysis!C108="Profit",Fin_Analysis!F100,IF(Fin_Analysis!C108="Dividend",Fin_Analysis!F103,Fin_Analysis!F106))</f>
        <v>1.8040561957630366</v>
      </c>
      <c r="G29" s="242">
        <f>IF(Fin_Analysis!C108="Profit",Fin_Analysis!H100,IF(Fin_Analysis!C108="Dividend",Fin_Analysis!H103,Fin_Analysis!H106))</f>
        <v>1.9248035792946134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31" zoomScaleNormal="100" workbookViewId="0">
      <selection activeCell="C50" sqref="C50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243</v>
      </c>
      <c r="F4" s="201" t="s">
        <v>227</v>
      </c>
    </row>
    <row r="5" spans="1:6" ht="13.9" x14ac:dyDescent="0.4">
      <c r="B5" s="142" t="s">
        <v>212</v>
      </c>
      <c r="C5" s="240" t="s">
        <v>244</v>
      </c>
      <c r="E5" s="231">
        <f>C18</f>
        <v>45291</v>
      </c>
      <c r="F5" s="232">
        <f>0.0538+0.064</f>
        <v>0.1178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f>F5</f>
        <v>0.1178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245</v>
      </c>
    </row>
    <row r="10" spans="1:6" ht="13.9" x14ac:dyDescent="0.4">
      <c r="B10" s="141" t="s">
        <v>238</v>
      </c>
      <c r="C10" s="200">
        <v>1333333500</v>
      </c>
    </row>
    <row r="11" spans="1:6" ht="13.9" x14ac:dyDescent="0.4">
      <c r="B11" s="141" t="s">
        <v>239</v>
      </c>
      <c r="C11" s="199" t="s">
        <v>246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247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1615585</v>
      </c>
      <c r="D19" s="152">
        <v>1446638</v>
      </c>
      <c r="E19" s="152">
        <v>1769157</v>
      </c>
      <c r="F19" s="152">
        <v>1702154</v>
      </c>
      <c r="G19" s="152">
        <v>1383402</v>
      </c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897327</v>
      </c>
      <c r="D20" s="153">
        <v>845264</v>
      </c>
      <c r="E20" s="153">
        <v>981731</v>
      </c>
      <c r="F20" s="153">
        <v>959572</v>
      </c>
      <c r="G20" s="153">
        <v>783542</v>
      </c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613104</v>
      </c>
      <c r="D21" s="153">
        <v>599182</v>
      </c>
      <c r="E21" s="153">
        <v>705390</v>
      </c>
      <c r="F21" s="153">
        <v>456610</v>
      </c>
      <c r="G21" s="153">
        <v>396643</v>
      </c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35974</v>
      </c>
      <c r="D22" s="153">
        <v>32106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15312</v>
      </c>
      <c r="D24" s="153">
        <v>11600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-169280</v>
      </c>
      <c r="D25" s="153">
        <v>-50846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1003</v>
      </c>
      <c r="D26" s="153">
        <v>863</v>
      </c>
      <c r="E26" s="153">
        <v>1613</v>
      </c>
      <c r="F26" s="153">
        <v>2645</v>
      </c>
      <c r="G26" s="153">
        <v>299</v>
      </c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2199</v>
      </c>
      <c r="D27" s="153">
        <v>645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3160304</v>
      </c>
      <c r="E28" s="153">
        <v>3103683</v>
      </c>
      <c r="F28" s="153">
        <v>1398268</v>
      </c>
      <c r="G28" s="153">
        <v>1034632</v>
      </c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734909</v>
      </c>
      <c r="E31" s="153">
        <v>677999</v>
      </c>
      <c r="F31" s="153">
        <v>1352795</v>
      </c>
      <c r="G31" s="153">
        <v>1205068</v>
      </c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18682</v>
      </c>
      <c r="E32" s="153">
        <v>61277</v>
      </c>
      <c r="F32" s="153">
        <v>51229</v>
      </c>
      <c r="G32" s="153">
        <v>23195</v>
      </c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6202</v>
      </c>
      <c r="E33" s="153">
        <v>5517</v>
      </c>
      <c r="F33" s="153">
        <v>301783</v>
      </c>
      <c r="G33" s="153">
        <v>3225</v>
      </c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10412</v>
      </c>
      <c r="E34" s="153">
        <v>9392</v>
      </c>
      <c r="F34" s="153">
        <v>5096</v>
      </c>
      <c r="G34" s="153">
        <v>6880</v>
      </c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2824568</v>
      </c>
      <c r="E35" s="153">
        <v>2735259</v>
      </c>
      <c r="F35" s="153">
        <v>250534</v>
      </c>
      <c r="G35" s="153">
        <v>13930</v>
      </c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7297</v>
      </c>
      <c r="E36" s="153">
        <v>1498</v>
      </c>
      <c r="F36" s="153">
        <v>2853</v>
      </c>
      <c r="G36" s="153">
        <v>696</v>
      </c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>
        <v>2868641</v>
      </c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2385307</v>
      </c>
      <c r="D40" s="60">
        <v>0.9</v>
      </c>
      <c r="E40" s="113"/>
    </row>
    <row r="41" spans="2:13" ht="13.9" x14ac:dyDescent="0.4">
      <c r="B41" s="1" t="s">
        <v>146</v>
      </c>
      <c r="C41" s="59">
        <v>0</v>
      </c>
      <c r="D41" s="60">
        <v>0.8</v>
      </c>
      <c r="E41" s="113"/>
    </row>
    <row r="42" spans="2:13" ht="13.9" x14ac:dyDescent="0.4">
      <c r="B42" s="3" t="s">
        <v>121</v>
      </c>
      <c r="C42" s="59">
        <v>180994</v>
      </c>
      <c r="D42" s="60">
        <f>D43</f>
        <v>0.6</v>
      </c>
      <c r="E42" s="113"/>
    </row>
    <row r="43" spans="2:13" ht="13.9" x14ac:dyDescent="0.4">
      <c r="B43" s="3" t="s">
        <v>42</v>
      </c>
      <c r="C43" s="59">
        <v>0</v>
      </c>
      <c r="D43" s="60">
        <v>0.6</v>
      </c>
      <c r="E43" s="113"/>
    </row>
    <row r="44" spans="2:13" ht="13.9" x14ac:dyDescent="0.4">
      <c r="B44" s="3" t="s">
        <v>44</v>
      </c>
      <c r="C44" s="59">
        <v>253051</v>
      </c>
      <c r="D44" s="60">
        <v>0.5</v>
      </c>
      <c r="E44" s="113"/>
    </row>
    <row r="45" spans="2:13" ht="13.9" x14ac:dyDescent="0.4">
      <c r="B45" s="1" t="s">
        <v>170</v>
      </c>
      <c r="C45" s="59">
        <v>0</v>
      </c>
      <c r="D45" s="60">
        <f>D42</f>
        <v>0.6</v>
      </c>
      <c r="E45" s="113"/>
    </row>
    <row r="46" spans="2:13" ht="13.9" x14ac:dyDescent="0.4">
      <c r="B46" s="3" t="s">
        <v>122</v>
      </c>
      <c r="C46" s="59">
        <v>0</v>
      </c>
      <c r="D46" s="60">
        <v>0.1</v>
      </c>
      <c r="E46" s="113"/>
    </row>
    <row r="47" spans="2:13" ht="13.9" x14ac:dyDescent="0.4">
      <c r="B47" s="3" t="s">
        <v>47</v>
      </c>
      <c r="C47" s="59">
        <v>158110</v>
      </c>
      <c r="D47" s="60">
        <f>D44</f>
        <v>0.5</v>
      </c>
      <c r="E47" s="113"/>
    </row>
    <row r="48" spans="2:13" ht="13.9" x14ac:dyDescent="0.4">
      <c r="B48" s="1" t="s">
        <v>48</v>
      </c>
      <c r="C48" s="59">
        <v>0</v>
      </c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>
        <v>0</v>
      </c>
      <c r="D49" s="60">
        <v>0.6</v>
      </c>
      <c r="E49" s="230" t="s">
        <v>46</v>
      </c>
    </row>
    <row r="50" spans="2:5" ht="13.9" x14ac:dyDescent="0.4">
      <c r="B50" s="3" t="s">
        <v>50</v>
      </c>
      <c r="C50" s="59">
        <v>5912</v>
      </c>
      <c r="D50" s="60">
        <f>D40</f>
        <v>0.9</v>
      </c>
      <c r="E50" s="113"/>
    </row>
    <row r="51" spans="2:5" ht="13.9" x14ac:dyDescent="0.4">
      <c r="B51" s="35" t="s">
        <v>51</v>
      </c>
      <c r="C51" s="121">
        <v>0</v>
      </c>
      <c r="D51" s="202">
        <f>D62</f>
        <v>0.05</v>
      </c>
      <c r="E51" s="113"/>
    </row>
    <row r="52" spans="2:5" ht="13.9" x14ac:dyDescent="0.4">
      <c r="B52" s="3" t="s">
        <v>61</v>
      </c>
      <c r="C52" s="59">
        <v>279425</v>
      </c>
      <c r="D52" s="60">
        <f>D41</f>
        <v>0.8</v>
      </c>
      <c r="E52" s="113"/>
    </row>
    <row r="53" spans="2:5" ht="13.9" x14ac:dyDescent="0.4">
      <c r="B53" s="3" t="s">
        <v>63</v>
      </c>
      <c r="C53" s="59">
        <v>126127</v>
      </c>
      <c r="D53" s="60">
        <f>D43</f>
        <v>0.6</v>
      </c>
      <c r="E53" s="113"/>
    </row>
    <row r="54" spans="2:5" ht="13.9" x14ac:dyDescent="0.4">
      <c r="B54" s="3" t="s">
        <v>65</v>
      </c>
      <c r="C54" s="59">
        <v>0</v>
      </c>
      <c r="D54" s="60">
        <f>D44</f>
        <v>0.5</v>
      </c>
      <c r="E54" s="113"/>
    </row>
    <row r="55" spans="2:5" ht="13.9" x14ac:dyDescent="0.4">
      <c r="B55" s="1" t="s">
        <v>171</v>
      </c>
      <c r="C55" s="59">
        <v>0</v>
      </c>
      <c r="D55" s="60">
        <f>D54</f>
        <v>0.5</v>
      </c>
      <c r="E55" s="113"/>
    </row>
    <row r="56" spans="2:5" ht="13.9" x14ac:dyDescent="0.4">
      <c r="B56" s="3" t="s">
        <v>68</v>
      </c>
      <c r="C56" s="59">
        <v>0</v>
      </c>
      <c r="D56" s="60">
        <v>0.4</v>
      </c>
      <c r="E56" s="113"/>
    </row>
    <row r="57" spans="2:5" ht="13.9" x14ac:dyDescent="0.4">
      <c r="B57" s="3" t="s">
        <v>70</v>
      </c>
      <c r="C57" s="59">
        <v>1500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>
        <v>0</v>
      </c>
      <c r="D58" s="60">
        <v>0.2</v>
      </c>
      <c r="E58" s="230" t="s">
        <v>71</v>
      </c>
    </row>
    <row r="59" spans="2:5" ht="13.9" x14ac:dyDescent="0.4">
      <c r="B59" s="1" t="s">
        <v>49</v>
      </c>
      <c r="C59" s="59">
        <v>0</v>
      </c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193915</v>
      </c>
      <c r="D60" s="60">
        <f>D57</f>
        <v>0.1</v>
      </c>
      <c r="E60" s="113"/>
    </row>
    <row r="61" spans="2:5" ht="13.9" x14ac:dyDescent="0.4">
      <c r="B61" s="3" t="s">
        <v>73</v>
      </c>
      <c r="C61" s="59">
        <v>0</v>
      </c>
      <c r="D61" s="60">
        <f>D62</f>
        <v>0.05</v>
      </c>
      <c r="E61" s="113"/>
    </row>
    <row r="62" spans="2:5" ht="13.9" x14ac:dyDescent="0.4">
      <c r="B62" s="3" t="s">
        <v>74</v>
      </c>
      <c r="C62" s="59">
        <v>9704</v>
      </c>
      <c r="D62" s="60">
        <v>0.05</v>
      </c>
      <c r="E62" s="113"/>
    </row>
    <row r="63" spans="2:5" ht="13.9" x14ac:dyDescent="0.4">
      <c r="B63" s="3" t="s">
        <v>75</v>
      </c>
      <c r="C63" s="59">
        <v>76124</v>
      </c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>
        <v>13416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611931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20583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30946</v>
      </c>
    </row>
    <row r="76" spans="2:3" ht="14.25" thickTop="1" x14ac:dyDescent="0.4">
      <c r="B76" s="73" t="s">
        <v>242</v>
      </c>
      <c r="C76" s="59">
        <v>3023302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101219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1615585</v>
      </c>
      <c r="D6" s="209">
        <f>IF(Inputs!D19="","",Inputs!D19)</f>
        <v>1446638</v>
      </c>
      <c r="E6" s="209">
        <f>IF(Inputs!E19="","",Inputs!E19)</f>
        <v>1769157</v>
      </c>
      <c r="F6" s="209">
        <f>IF(Inputs!F19="","",Inputs!F19)</f>
        <v>1702154</v>
      </c>
      <c r="G6" s="209">
        <f>IF(Inputs!G19="","",Inputs!G19)</f>
        <v>1383402</v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897327</v>
      </c>
      <c r="D8" s="208">
        <f>IF(Inputs!D20="","",Inputs!D20)</f>
        <v>845264</v>
      </c>
      <c r="E8" s="208">
        <f>IF(Inputs!E20="","",Inputs!E20)</f>
        <v>981731</v>
      </c>
      <c r="F8" s="208">
        <f>IF(Inputs!F20="","",Inputs!F20)</f>
        <v>959572</v>
      </c>
      <c r="G8" s="208">
        <f>IF(Inputs!G20="","",Inputs!G20)</f>
        <v>783542</v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718258</v>
      </c>
      <c r="D9" s="154">
        <f t="shared" si="2"/>
        <v>601374</v>
      </c>
      <c r="E9" s="154">
        <f t="shared" si="2"/>
        <v>787426</v>
      </c>
      <c r="F9" s="154">
        <f t="shared" si="2"/>
        <v>742582</v>
      </c>
      <c r="G9" s="154">
        <f t="shared" si="2"/>
        <v>599860</v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613104</v>
      </c>
      <c r="D10" s="208">
        <f>IF(Inputs!D21="","",Inputs!D21)</f>
        <v>599182</v>
      </c>
      <c r="E10" s="208">
        <f>IF(Inputs!E21="","",Inputs!E21)</f>
        <v>705390</v>
      </c>
      <c r="F10" s="208">
        <f>IF(Inputs!F21="","",Inputs!F21)</f>
        <v>456610</v>
      </c>
      <c r="G10" s="208">
        <f>IF(Inputs!G21="","",Inputs!G21)</f>
        <v>396643</v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2.2266856897037297E-2</v>
      </c>
      <c r="D11" s="155">
        <f t="shared" ref="D11:M11" si="3">IF(OR(D6="",D12=""),"",D12/D6)</f>
        <v>2.2193527337177648E-2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35974</v>
      </c>
      <c r="D12" s="208">
        <f>IF(Inputs!D22="","",Inputs!D22)</f>
        <v>32106</v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141128</v>
      </c>
      <c r="D13" s="154">
        <f t="shared" ref="D13:M13" si="4">IF(D6="","",(D9-D10+MAX(D12,0)))</f>
        <v>34298</v>
      </c>
      <c r="E13" s="154">
        <f t="shared" si="4"/>
        <v>82036</v>
      </c>
      <c r="F13" s="154">
        <f t="shared" si="4"/>
        <v>285972</v>
      </c>
      <c r="G13" s="154">
        <f t="shared" si="4"/>
        <v>203217</v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15312</v>
      </c>
      <c r="D15" s="208">
        <f>IF(Inputs!D24="","",Inputs!D24)</f>
        <v>11600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-169280</v>
      </c>
      <c r="D16" s="208">
        <f>IF(Inputs!D25="","",Inputs!D25)</f>
        <v>-50846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1003</v>
      </c>
      <c r="D17" s="208">
        <f>IF(Inputs!D26="","",Inputs!D26)</f>
        <v>863</v>
      </c>
      <c r="E17" s="208">
        <f>IF(Inputs!E26="","",Inputs!E26)</f>
        <v>1613</v>
      </c>
      <c r="F17" s="208">
        <f>IF(Inputs!F26="","",Inputs!F26)</f>
        <v>2645</v>
      </c>
      <c r="G17" s="208">
        <f>IF(Inputs!G26="","",Inputs!G26)</f>
        <v>299</v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2199</v>
      </c>
      <c r="D18" s="208">
        <f>IF(Inputs!D27="","",Inputs!D27)</f>
        <v>645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101219</v>
      </c>
      <c r="D19" s="237">
        <f>IF(D6="","",D9-D10-MAX(D17,0)-MAX(D18,0)/(1-Fin_Analysis!$I$84))</f>
        <v>469</v>
      </c>
      <c r="E19" s="237">
        <f>IF(E6="","",E9-E10-MAX(E17,0)-MAX(E18,0)/(1-Fin_Analysis!$I$84))</f>
        <v>80423</v>
      </c>
      <c r="F19" s="237">
        <f>IF(F6="","",F9-F10-MAX(F17,0)-MAX(F18,0)/(1-Fin_Analysis!$I$84))</f>
        <v>283327</v>
      </c>
      <c r="G19" s="237">
        <f>IF(G6="","",G9-G10-MAX(G17,0)-MAX(G18,0)/(1-Fin_Analysis!$I$84))</f>
        <v>202918</v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214.81876332622602</v>
      </c>
      <c r="D20" s="238">
        <f t="shared" ref="D20:M20" si="5">IF(E19="","",IF(ABS(D19+E19)=ABS(D19)+ABS(E19),IF(D19&lt;0,-1,1)*(D19-E19)/E19,"Turn"))</f>
        <v>-0.99416833492906254</v>
      </c>
      <c r="E20" s="238">
        <f t="shared" si="5"/>
        <v>-0.71614777271491947</v>
      </c>
      <c r="F20" s="238">
        <f t="shared" si="5"/>
        <v>0.3962635153116037</v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121881</v>
      </c>
      <c r="D21" s="77">
        <f>IF(D6="","",D13-MAX(D14,0)-MAX(D15,0)-MAX(D16,0)-MAX(D17,0)-MAX(D18,0)/(1-Fin_Analysis!$I$84))</f>
        <v>20975</v>
      </c>
      <c r="E21" s="77">
        <f>IF(E6="","",E13-MAX(E14,0)-MAX(E15,0)-MAX(E16,0)-MAX(E17,0)-MAX(E18,0)/(1-Fin_Analysis!$I$84))</f>
        <v>80423</v>
      </c>
      <c r="F21" s="77">
        <f>IF(F6="","",F13-MAX(F14,0)-MAX(F15,0)-MAX(F16,0)-MAX(F17,0)-MAX(F18,0)/(1-Fin_Analysis!$I$84))</f>
        <v>283327</v>
      </c>
      <c r="G21" s="77">
        <f>IF(G6="","",G13-MAX(G14,0)-MAX(G15,0)-MAX(G16,0)-MAX(G17,0)-MAX(G18,0)/(1-Fin_Analysis!$I$84))</f>
        <v>202918</v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4.8107747318235994</v>
      </c>
      <c r="D22" s="156">
        <f t="shared" ref="D22:M22" si="6">IF(E21="","",IF(ABS(D21+E21)=ABS(D21)+ABS(E21),IF(D21&lt;0,-1,1)*(D21-E21)/E21,"Turn"))</f>
        <v>-0.73919152481255357</v>
      </c>
      <c r="E22" s="156">
        <f t="shared" si="6"/>
        <v>-0.71614777271491947</v>
      </c>
      <c r="F22" s="156">
        <f t="shared" si="6"/>
        <v>0.3962635153116037</v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5.6580588455574912E-2</v>
      </c>
      <c r="D23" s="157">
        <f t="shared" si="7"/>
        <v>1.0874351427240263E-2</v>
      </c>
      <c r="E23" s="157">
        <f t="shared" si="7"/>
        <v>3.4093780258055109E-2</v>
      </c>
      <c r="F23" s="157">
        <f t="shared" si="7"/>
        <v>0.12483902749104958</v>
      </c>
      <c r="G23" s="157">
        <f t="shared" si="7"/>
        <v>0.11001032237917828</v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91410.75</v>
      </c>
      <c r="D24" s="77">
        <f>IF(D6="","",D21*(1-Fin_Analysis!$I$84))</f>
        <v>15731.25</v>
      </c>
      <c r="E24" s="77">
        <f>IF(E6="","",E21*(1-Fin_Analysis!$I$84))</f>
        <v>60317.25</v>
      </c>
      <c r="F24" s="77">
        <f>IF(F6="","",F21*(1-Fin_Analysis!$I$84))</f>
        <v>212495.25</v>
      </c>
      <c r="G24" s="77">
        <f>IF(G6="","",G21*(1-Fin_Analysis!$I$84))</f>
        <v>152188.5</v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4.8107747318235994</v>
      </c>
      <c r="D25" s="159">
        <f t="shared" ref="D25:M25" si="8">IF(E24="","",IF(ABS(D24+E24)=ABS(D24)+ABS(E24),IF(D24&lt;0,-1,1)*(D24-E24)/E24,"Turn"))</f>
        <v>-0.73919152481255357</v>
      </c>
      <c r="E25" s="159">
        <f t="shared" si="8"/>
        <v>-0.71614777271491947</v>
      </c>
      <c r="F25" s="159">
        <f t="shared" si="8"/>
        <v>0.3962635153116037</v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3670169</v>
      </c>
      <c r="D27" s="65">
        <f t="shared" ref="D27:M27" si="18">IF(D36="","",D36+D31+D32)</f>
        <v>3578159</v>
      </c>
      <c r="E27" s="65">
        <f t="shared" si="18"/>
        <v>3474535</v>
      </c>
      <c r="F27" s="65">
        <f t="shared" si="18"/>
        <v>1654558</v>
      </c>
      <c r="G27" s="65">
        <f t="shared" si="18"/>
        <v>1242193</v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2983374</v>
      </c>
      <c r="D28" s="208">
        <f>IF(Inputs!D28="","",Inputs!D28)</f>
        <v>3160304</v>
      </c>
      <c r="E28" s="208">
        <f>IF(Inputs!E28="","",Inputs!E28)</f>
        <v>3103683</v>
      </c>
      <c r="F28" s="208">
        <f>IF(Inputs!F28="","",Inputs!F28)</f>
        <v>1398268</v>
      </c>
      <c r="G28" s="208">
        <f>IF(Inputs!G28="","",Inputs!G28)</f>
        <v>1034632</v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180994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158110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611931</v>
      </c>
      <c r="D31" s="208">
        <f>IF(Inputs!D31="","",Inputs!D31)</f>
        <v>734909</v>
      </c>
      <c r="E31" s="208">
        <f>IF(Inputs!E31="","",Inputs!E31)</f>
        <v>677999</v>
      </c>
      <c r="F31" s="208">
        <f>IF(Inputs!F31="","",Inputs!F31)</f>
        <v>1352795</v>
      </c>
      <c r="G31" s="208">
        <f>IF(Inputs!G31="","",Inputs!G31)</f>
        <v>1205068</v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30946</v>
      </c>
      <c r="D32" s="208">
        <f>IF(Inputs!D32="","",Inputs!D32)</f>
        <v>18682</v>
      </c>
      <c r="E32" s="208">
        <f>IF(Inputs!E32="","",Inputs!E32)</f>
        <v>61277</v>
      </c>
      <c r="F32" s="208">
        <f>IF(Inputs!F32="","",Inputs!F32)</f>
        <v>51229</v>
      </c>
      <c r="G32" s="208">
        <f>IF(Inputs!G32="","",Inputs!G32)</f>
        <v>23195</v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13416</v>
      </c>
      <c r="D33" s="208">
        <f>IF(Inputs!D33="","",Inputs!D33)</f>
        <v>6202</v>
      </c>
      <c r="E33" s="208">
        <f>IF(Inputs!E33="","",Inputs!E33)</f>
        <v>5517</v>
      </c>
      <c r="F33" s="208">
        <f>IF(Inputs!F33="","",Inputs!F33)</f>
        <v>301783</v>
      </c>
      <c r="G33" s="208">
        <f>IF(Inputs!G33="","",Inputs!G33)</f>
        <v>3225</v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20583</v>
      </c>
      <c r="D34" s="208">
        <f>IF(Inputs!D34="","",Inputs!D34)</f>
        <v>10412</v>
      </c>
      <c r="E34" s="208">
        <f>IF(Inputs!E34="","",Inputs!E34)</f>
        <v>9392</v>
      </c>
      <c r="F34" s="208">
        <f>IF(Inputs!F34="","",Inputs!F34)</f>
        <v>5096</v>
      </c>
      <c r="G34" s="208">
        <f>IF(Inputs!G34="","",Inputs!G34)</f>
        <v>6880</v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33999</v>
      </c>
      <c r="D35" s="77">
        <f t="shared" ref="D35" si="20">IF(OR(D33="",D34=""),"",D33+D34)</f>
        <v>16614</v>
      </c>
      <c r="E35" s="77">
        <f t="shared" ref="E35" si="21">IF(OR(E33="",E34=""),"",E33+E34)</f>
        <v>14909</v>
      </c>
      <c r="F35" s="77">
        <f t="shared" ref="F35" si="22">IF(OR(F33="",F34=""),"",F33+F34)</f>
        <v>306879</v>
      </c>
      <c r="G35" s="77">
        <f t="shared" ref="G35" si="23">IF(OR(G33="",G34=""),"",G33+G34)</f>
        <v>10105</v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3027292</v>
      </c>
      <c r="D36" s="208">
        <f>IF(Inputs!D35="","",Inputs!D35)</f>
        <v>2824568</v>
      </c>
      <c r="E36" s="208">
        <f>IF(Inputs!E35="","",Inputs!E35)</f>
        <v>2735259</v>
      </c>
      <c r="F36" s="208">
        <f>IF(Inputs!F35="","",Inputs!F35)</f>
        <v>250534</v>
      </c>
      <c r="G36" s="208">
        <f>IF(Inputs!G35="","",Inputs!G35)</f>
        <v>13930</v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3990</v>
      </c>
      <c r="D37" s="208">
        <f>IF(Inputs!D36="","",Inputs!D36)</f>
        <v>7297</v>
      </c>
      <c r="E37" s="208">
        <f>IF(Inputs!E36="","",Inputs!E36)</f>
        <v>1498</v>
      </c>
      <c r="F37" s="208">
        <f>IF(Inputs!F36="","",Inputs!F36)</f>
        <v>2853</v>
      </c>
      <c r="G37" s="208">
        <f>IF(Inputs!G36="","",Inputs!G36)</f>
        <v>696</v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3045410</v>
      </c>
      <c r="D38" s="208">
        <f>IF(Inputs!D37="","",Inputs!D37)</f>
        <v>2868641</v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624759</v>
      </c>
      <c r="D39" s="65">
        <f>IF(D38="","",D27-D38)</f>
        <v>709518</v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0.19508482470840757</v>
      </c>
      <c r="D40" s="160">
        <f>IF(D39="","",D21/D39)</f>
        <v>2.9562322590829266E-2</v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0.55541924442229906</v>
      </c>
      <c r="D42" s="161">
        <f t="shared" si="33"/>
        <v>0.5842954491724951</v>
      </c>
      <c r="E42" s="161">
        <f t="shared" si="33"/>
        <v>0.55491457230760188</v>
      </c>
      <c r="F42" s="161">
        <f t="shared" si="33"/>
        <v>0.56373982612619067</v>
      </c>
      <c r="G42" s="161">
        <f t="shared" si="33"/>
        <v>0.56638778894348862</v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0.35722663926689097</v>
      </c>
      <c r="D43" s="157">
        <f t="shared" ref="D43:M43" si="34">IF(D6="","",(D10-MAX(D12,0))/D6)</f>
        <v>0.39199578609161378</v>
      </c>
      <c r="E43" s="157">
        <f t="shared" si="34"/>
        <v>0.39871532034748752</v>
      </c>
      <c r="F43" s="157">
        <f t="shared" si="34"/>
        <v>0.2682542237658872</v>
      </c>
      <c r="G43" s="157">
        <f t="shared" si="34"/>
        <v>0.28671564736786559</v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9.4776814590380575E-3</v>
      </c>
      <c r="D44" s="157">
        <f t="shared" ref="D44:M44" si="35">IF(D6="","",(MAX(D14,0)+MAX(D15,0))/D6)</f>
        <v>8.0185920734834829E-3</v>
      </c>
      <c r="E44" s="157">
        <f t="shared" si="35"/>
        <v>0</v>
      </c>
      <c r="F44" s="157">
        <f t="shared" si="35"/>
        <v>0</v>
      </c>
      <c r="G44" s="157">
        <f t="shared" si="35"/>
        <v>0</v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>
        <f t="shared" si="36"/>
        <v>0</v>
      </c>
      <c r="F45" s="157">
        <f t="shared" si="36"/>
        <v>0</v>
      </c>
      <c r="G45" s="157">
        <f t="shared" si="36"/>
        <v>0</v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6.208277497005729E-4</v>
      </c>
      <c r="D46" s="157">
        <f t="shared" ref="D46:M46" si="37">IF(D6="","",MAX(D17,0)/D6)</f>
        <v>5.9655559994967644E-4</v>
      </c>
      <c r="E46" s="157">
        <f t="shared" si="37"/>
        <v>9.1173366750378854E-4</v>
      </c>
      <c r="F46" s="157">
        <f t="shared" si="37"/>
        <v>1.5539134531893119E-3</v>
      </c>
      <c r="G46" s="157">
        <f t="shared" si="37"/>
        <v>2.1613384974143452E-4</v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1.8148224946381651E-3</v>
      </c>
      <c r="D47" s="157">
        <f>IF(D6="","",MAX(D18,0)/(1-Fin_Analysis!$I$84)/D6)</f>
        <v>5.9448182613756862E-4</v>
      </c>
      <c r="E47" s="157">
        <f>IF(E6="","",MAX(E18,0)/(1-Fin_Analysis!$I$84)/E6)</f>
        <v>0</v>
      </c>
      <c r="F47" s="157">
        <f>IF(F6="","",MAX(F18,0)/(1-Fin_Analysis!$I$84)/F6)</f>
        <v>0</v>
      </c>
      <c r="G47" s="157">
        <f>IF(G6="","",MAX(G18,0)/(1-Fin_Analysis!$I$84)/G6)</f>
        <v>0</v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7.5440784607433226E-2</v>
      </c>
      <c r="D48" s="157">
        <f t="shared" si="38"/>
        <v>1.449913523632035E-2</v>
      </c>
      <c r="E48" s="157">
        <f t="shared" si="38"/>
        <v>4.5458373677406808E-2</v>
      </c>
      <c r="F48" s="157">
        <f t="shared" si="38"/>
        <v>0.16645203665473277</v>
      </c>
      <c r="G48" s="157">
        <f t="shared" si="38"/>
        <v>0.14668042983890439</v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0.11203000770618693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9.7865479067953717E-2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0.1751627786077426</v>
      </c>
      <c r="D53" s="161">
        <f t="shared" ref="D53:M53" si="41">IF(D36="","",(D27-D36)/D27)</f>
        <v>0.21060858391144721</v>
      </c>
      <c r="E53" s="161">
        <f t="shared" si="41"/>
        <v>0.21276976631405353</v>
      </c>
      <c r="F53" s="161">
        <f t="shared" si="41"/>
        <v>0.84857949978181479</v>
      </c>
      <c r="G53" s="161">
        <f t="shared" si="41"/>
        <v>0.98878596160178012</v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3.5848407306097236</v>
      </c>
      <c r="D54" s="162">
        <f t="shared" ref="D54:M54" si="42">IF(OR(D21="",D35=""),"",IF(D35&lt;=0,"-",D21/D35))</f>
        <v>1.2624894667148188</v>
      </c>
      <c r="E54" s="162">
        <f t="shared" si="42"/>
        <v>5.3942585015762292</v>
      </c>
      <c r="F54" s="162">
        <f t="shared" si="42"/>
        <v>0.92325313885928983</v>
      </c>
      <c r="G54" s="162">
        <f t="shared" si="42"/>
        <v>20.080950024740229</v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8.2293384530812835E-3</v>
      </c>
      <c r="D55" s="157">
        <f t="shared" ref="D55:M55" si="43">IF(D21="","",IF(MAX(D17,0)&lt;=0,"-",D17/D21))</f>
        <v>4.1144219308700831E-2</v>
      </c>
      <c r="E55" s="157">
        <f t="shared" si="43"/>
        <v>2.0056451512626985E-2</v>
      </c>
      <c r="F55" s="157">
        <f t="shared" si="43"/>
        <v>9.3355027935918562E-3</v>
      </c>
      <c r="G55" s="157">
        <f t="shared" si="43"/>
        <v>1.4735016114883846E-3</v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4.8753437887604978</v>
      </c>
      <c r="D56" s="163">
        <f t="shared" si="44"/>
        <v>4.3002657471877468</v>
      </c>
      <c r="E56" s="163">
        <f t="shared" si="44"/>
        <v>4.5777102916081001</v>
      </c>
      <c r="F56" s="163">
        <f t="shared" si="44"/>
        <v>1.0336141100462377</v>
      </c>
      <c r="G56" s="163">
        <f t="shared" si="44"/>
        <v>0.85856731736300362</v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3" zoomScaleNormal="100" workbookViewId="0">
      <selection activeCell="B96" sqref="B9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3027292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3023302</v>
      </c>
      <c r="K3" s="24"/>
    </row>
    <row r="4" spans="1:11" ht="15" customHeight="1" x14ac:dyDescent="0.4">
      <c r="B4" s="3" t="s">
        <v>25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4.8753437887604978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2142311.2200000002</v>
      </c>
      <c r="E6" s="56">
        <f>1-D6/D3</f>
        <v>0.29233413228720584</v>
      </c>
      <c r="F6" s="87"/>
      <c r="G6" s="87"/>
      <c r="H6" s="1" t="s">
        <v>30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1.7352718712910165</v>
      </c>
      <c r="E7" s="11" t="str">
        <f>Dashboard!H3</f>
        <v>HKD</v>
      </c>
      <c r="H7" s="1" t="s">
        <v>31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2385307</v>
      </c>
      <c r="D11" s="207">
        <f>Inputs!D40</f>
        <v>0.9</v>
      </c>
      <c r="E11" s="88">
        <f t="shared" ref="E11:E22" si="0">C11*D11</f>
        <v>2146776.3000000003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13416</v>
      </c>
      <c r="J12" s="87"/>
      <c r="K12" s="24"/>
    </row>
    <row r="13" spans="1:11" ht="13.9" x14ac:dyDescent="0.4">
      <c r="B13" s="3" t="s">
        <v>121</v>
      </c>
      <c r="C13" s="40">
        <f>Inputs!C42</f>
        <v>180994</v>
      </c>
      <c r="D13" s="207">
        <f>Inputs!D42</f>
        <v>0.6</v>
      </c>
      <c r="E13" s="88">
        <f t="shared" si="0"/>
        <v>108596.4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253051</v>
      </c>
      <c r="D15" s="207">
        <f>Inputs!D44</f>
        <v>0.5</v>
      </c>
      <c r="E15" s="88">
        <f t="shared" si="0"/>
        <v>126525.5</v>
      </c>
      <c r="F15" s="113"/>
      <c r="G15" s="87"/>
      <c r="H15" s="1" t="s">
        <v>54</v>
      </c>
      <c r="I15" s="84">
        <f>SUM(I11:I14)</f>
        <v>13416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158110</v>
      </c>
      <c r="D18" s="207">
        <f>Inputs!D47</f>
        <v>0.5</v>
      </c>
      <c r="E18" s="88">
        <f t="shared" si="0"/>
        <v>79055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5912</v>
      </c>
      <c r="D21" s="207">
        <f>Inputs!D50</f>
        <v>0.9</v>
      </c>
      <c r="E21" s="88">
        <f t="shared" si="0"/>
        <v>5320.8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4">
        <f>E24/$E$28</f>
        <v>0.91448586004636967</v>
      </c>
      <c r="G24" s="87"/>
    </row>
    <row r="25" spans="2:10" ht="15" customHeight="1" x14ac:dyDescent="0.4">
      <c r="B25" s="23" t="s">
        <v>55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4">
        <f>E25/$E$28</f>
        <v>5.1302288391314184E-2</v>
      </c>
      <c r="G25" s="87"/>
      <c r="H25" s="23" t="s">
        <v>56</v>
      </c>
      <c r="I25" s="63">
        <f>E28/I28</f>
        <v>4.0303138752571774</v>
      </c>
    </row>
    <row r="26" spans="2:10" ht="15" customHeight="1" x14ac:dyDescent="0.4">
      <c r="B26" s="23" t="s">
        <v>57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4">
        <f>E26/$E$28</f>
        <v>3.2054427042575155E-2</v>
      </c>
      <c r="G26" s="87"/>
      <c r="H26" s="23" t="s">
        <v>58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4">
        <f>E27/$E$28</f>
        <v>2.1574245197411158E-3</v>
      </c>
      <c r="G27" s="87"/>
      <c r="H27" s="23" t="s">
        <v>60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3"/>
      <c r="G28" s="87"/>
      <c r="H28" s="78" t="s">
        <v>16</v>
      </c>
      <c r="I28" s="215">
        <f>Inputs!C70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279425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126127</v>
      </c>
      <c r="D31" s="207">
        <f>Inputs!D53</f>
        <v>0.6</v>
      </c>
      <c r="E31" s="88">
        <f t="shared" ref="E31:E42" si="1">C31*D31</f>
        <v>75676.2</v>
      </c>
      <c r="F31" s="113"/>
      <c r="G31" s="87"/>
      <c r="H31" s="3" t="s">
        <v>64</v>
      </c>
      <c r="I31" s="40">
        <f>Inputs!C72</f>
        <v>20583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20583</v>
      </c>
      <c r="J34" s="87"/>
    </row>
    <row r="35" spans="2:10" ht="13.9" x14ac:dyDescent="0.4">
      <c r="B35" s="3" t="s">
        <v>70</v>
      </c>
      <c r="C35" s="40">
        <f>Inputs!C57</f>
        <v>1500</v>
      </c>
      <c r="D35" s="207">
        <f>Inputs!D57</f>
        <v>0.1</v>
      </c>
      <c r="E35" s="88">
        <f t="shared" si="1"/>
        <v>150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193915</v>
      </c>
      <c r="D38" s="207">
        <f>Inputs!D60</f>
        <v>0.1</v>
      </c>
      <c r="E38" s="88">
        <f t="shared" si="1"/>
        <v>19391.5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9704</v>
      </c>
      <c r="D40" s="207">
        <f>Inputs!D62</f>
        <v>0.05</v>
      </c>
      <c r="E40" s="88">
        <f t="shared" si="1"/>
        <v>485.20000000000005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76124</v>
      </c>
      <c r="D41" s="207">
        <f>Inputs!D63</f>
        <v>0.9</v>
      </c>
      <c r="E41" s="88">
        <f t="shared" si="1"/>
        <v>68511.600000000006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81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83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85</v>
      </c>
      <c r="I48" s="216">
        <f>Inputs!C75</f>
        <v>30946</v>
      </c>
      <c r="J48" s="8"/>
    </row>
    <row r="49" spans="2:11" ht="15" customHeight="1" thickTop="1" x14ac:dyDescent="0.4">
      <c r="B49" s="3" t="s">
        <v>14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86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33999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2664732</v>
      </c>
      <c r="D62" s="108">
        <f t="shared" si="2"/>
        <v>0.80562559386835164</v>
      </c>
      <c r="E62" s="119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1615585</v>
      </c>
      <c r="D74" s="218"/>
      <c r="E74" s="205">
        <f>H74</f>
        <v>1615585</v>
      </c>
      <c r="F74" s="218"/>
      <c r="H74" s="205">
        <f>C74</f>
        <v>1615585</v>
      </c>
      <c r="I74" s="218"/>
      <c r="K74" s="24"/>
    </row>
    <row r="75" spans="1:11" ht="15" customHeight="1" x14ac:dyDescent="0.4">
      <c r="B75" s="105" t="s">
        <v>109</v>
      </c>
      <c r="C75" s="77">
        <f>Data!C8</f>
        <v>897327</v>
      </c>
      <c r="D75" s="164">
        <f>C75/$C$74</f>
        <v>0.55541924442229906</v>
      </c>
      <c r="E75" s="186">
        <f>E74*F75</f>
        <v>897327</v>
      </c>
      <c r="F75" s="165">
        <f>I75</f>
        <v>0.55541924442229906</v>
      </c>
      <c r="H75" s="205">
        <f>D75*H74</f>
        <v>897327</v>
      </c>
      <c r="I75" s="165">
        <f>H75/$H$74</f>
        <v>0.55541924442229906</v>
      </c>
      <c r="K75" s="24"/>
    </row>
    <row r="76" spans="1:11" ht="15" customHeight="1" x14ac:dyDescent="0.4">
      <c r="B76" s="35" t="s">
        <v>96</v>
      </c>
      <c r="C76" s="166">
        <f>C74-C75</f>
        <v>718258</v>
      </c>
      <c r="D76" s="219"/>
      <c r="E76" s="167">
        <f>E74-E75</f>
        <v>718258</v>
      </c>
      <c r="F76" s="219"/>
      <c r="H76" s="167">
        <f>H74-H75</f>
        <v>718258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577130</v>
      </c>
      <c r="D77" s="164">
        <f>C77/$C$74</f>
        <v>0.35722663926689097</v>
      </c>
      <c r="E77" s="186">
        <f>E74*F77</f>
        <v>577130</v>
      </c>
      <c r="F77" s="165">
        <f>I77</f>
        <v>0.35722663926689097</v>
      </c>
      <c r="H77" s="205">
        <f>D77*H74</f>
        <v>577130</v>
      </c>
      <c r="I77" s="165">
        <f>H77/$H$74</f>
        <v>0.35722663926689097</v>
      </c>
      <c r="K77" s="24"/>
    </row>
    <row r="78" spans="1:11" ht="15" customHeight="1" x14ac:dyDescent="0.4">
      <c r="B78" s="35" t="s">
        <v>97</v>
      </c>
      <c r="C78" s="166">
        <f>C76-C77</f>
        <v>141128</v>
      </c>
      <c r="D78" s="219"/>
      <c r="E78" s="167">
        <f>E76-E77</f>
        <v>141128</v>
      </c>
      <c r="F78" s="219"/>
      <c r="H78" s="167">
        <f>H76-H77</f>
        <v>141128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1003</v>
      </c>
      <c r="D79" s="164">
        <f>C79/$C$74</f>
        <v>6.208277497005729E-4</v>
      </c>
      <c r="E79" s="186">
        <f>E74*F79</f>
        <v>1003.0000000000001</v>
      </c>
      <c r="F79" s="165">
        <f t="shared" ref="F79:F84" si="3">I79</f>
        <v>6.208277497005729E-4</v>
      </c>
      <c r="H79" s="205">
        <f>C79</f>
        <v>1003</v>
      </c>
      <c r="I79" s="165">
        <f>H79/$H$74</f>
        <v>6.208277497005729E-4</v>
      </c>
      <c r="K79" s="24"/>
    </row>
    <row r="80" spans="1:11" ht="15" customHeight="1" x14ac:dyDescent="0.4">
      <c r="B80" s="28" t="s">
        <v>135</v>
      </c>
      <c r="C80" s="77">
        <f>MAX(Data!C14,0)+MAX(Data!C15,0)</f>
        <v>15312</v>
      </c>
      <c r="D80" s="164">
        <f>C80/$C$74</f>
        <v>9.4776814590380575E-3</v>
      </c>
      <c r="E80" s="186">
        <f>E74*F80</f>
        <v>15312</v>
      </c>
      <c r="F80" s="165">
        <f t="shared" si="3"/>
        <v>9.4776814590380575E-3</v>
      </c>
      <c r="H80" s="205">
        <f>H74*D80</f>
        <v>15312</v>
      </c>
      <c r="I80" s="165">
        <f>H80/$H$74</f>
        <v>9.4776814590380575E-3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2199</v>
      </c>
      <c r="D82" s="164">
        <f>C82/$C$74</f>
        <v>1.3611168709786237E-3</v>
      </c>
      <c r="E82" s="186">
        <f>E74*F82</f>
        <v>2199</v>
      </c>
      <c r="F82" s="165">
        <f t="shared" si="3"/>
        <v>1.3611168709786237E-3</v>
      </c>
      <c r="H82" s="205">
        <f>H74*D82</f>
        <v>2199</v>
      </c>
      <c r="I82" s="165">
        <f>H82/$H$74</f>
        <v>1.3611168709786237E-3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122614</v>
      </c>
      <c r="D83" s="169">
        <f>C83/$C$74</f>
        <v>7.5894490231092765E-2</v>
      </c>
      <c r="E83" s="170">
        <f>E78-E79-E80-E81-E82</f>
        <v>122614</v>
      </c>
      <c r="F83" s="169">
        <f>E83/E74</f>
        <v>7.5894490231092765E-2</v>
      </c>
      <c r="H83" s="170">
        <f>H78-H79-H80-H81-H82</f>
        <v>122614</v>
      </c>
      <c r="I83" s="169">
        <f>H83/$H$74</f>
        <v>7.5894490231092765E-2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91960.5</v>
      </c>
      <c r="D85" s="171">
        <f>C85/$C$74</f>
        <v>5.6920867673319574E-2</v>
      </c>
      <c r="E85" s="172">
        <f>E83*(1-F84)</f>
        <v>91960.5</v>
      </c>
      <c r="F85" s="171">
        <f>E85/E74</f>
        <v>5.6920867673319574E-2</v>
      </c>
      <c r="H85" s="172">
        <f>H83*(1-I84)</f>
        <v>91960.5</v>
      </c>
      <c r="I85" s="171">
        <f>H85/$H$74</f>
        <v>5.6920867673319574E-2</v>
      </c>
      <c r="K85" s="24"/>
    </row>
    <row r="86" spans="1:11" ht="15" customHeight="1" x14ac:dyDescent="0.4">
      <c r="B86" s="87" t="s">
        <v>172</v>
      </c>
      <c r="C86" s="173">
        <f>C85*Data!C4/Common_Shares</f>
        <v>6.8970366378704198E-2</v>
      </c>
      <c r="D86" s="218"/>
      <c r="E86" s="174">
        <f>E85*Data!C4/Common_Shares</f>
        <v>6.8970366378704198E-2</v>
      </c>
      <c r="F86" s="218"/>
      <c r="H86" s="174">
        <f>H85*Data!C4/Common_Shares</f>
        <v>6.8970366378704198E-2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3.7811164775235745E-2</v>
      </c>
      <c r="D87" s="218"/>
      <c r="E87" s="239">
        <f>E86*Exchange_Rate/Dashboard!G3</f>
        <v>3.7811164775235745E-2</v>
      </c>
      <c r="F87" s="218"/>
      <c r="H87" s="239">
        <f>H86*Exchange_Rate/Dashboard!G3</f>
        <v>3.7811164775235745E-2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0.1178</v>
      </c>
      <c r="D88" s="171">
        <f>C88/C86</f>
        <v>1.7079799076777531</v>
      </c>
      <c r="E88" s="204">
        <f>H88</f>
        <v>0.1178</v>
      </c>
      <c r="F88" s="171">
        <f>E88/E86</f>
        <v>1.7079799076777531</v>
      </c>
      <c r="H88" s="176">
        <f>Inputs!F6</f>
        <v>0.1178</v>
      </c>
      <c r="I88" s="171">
        <f>H88/H86</f>
        <v>1.7079799076777531</v>
      </c>
      <c r="K88" s="24"/>
    </row>
    <row r="89" spans="1:11" ht="15" customHeight="1" x14ac:dyDescent="0.4">
      <c r="B89" s="87" t="s">
        <v>249</v>
      </c>
      <c r="C89" s="165">
        <f>C88*Exchange_Rate/Dashboard!G3</f>
        <v>6.458070972199545E-2</v>
      </c>
      <c r="D89" s="218"/>
      <c r="E89" s="165">
        <f>E88*Exchange_Rate/Dashboard!G3</f>
        <v>6.458070972199545E-2</v>
      </c>
      <c r="F89" s="218"/>
      <c r="H89" s="165">
        <f>H88*Exchange_Rate/Dashboard!G3</f>
        <v>6.458070972199545E-2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0.08</v>
      </c>
      <c r="D93" s="206">
        <v>5</v>
      </c>
      <c r="E93" s="87" t="s">
        <v>229</v>
      </c>
      <c r="F93" s="146">
        <f>FV(E87,D93,0,-(E86/C93))</f>
        <v>1.0379208557430784</v>
      </c>
      <c r="H93" s="87" t="s">
        <v>229</v>
      </c>
      <c r="I93" s="146">
        <f>FV(H87,D93,0,-(H86/C93))</f>
        <v>1.0379208557430784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2.0134843843267864</v>
      </c>
      <c r="H94" s="87" t="s">
        <v>230</v>
      </c>
      <c r="I94" s="146">
        <f>FV(H89,D93,0,-(H88/C93))</f>
        <v>2.0134843843267864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1017203.8788987406</v>
      </c>
      <c r="E97" s="124">
        <f>PV(C94,D93,0,-F93)*Exchange_Rate</f>
        <v>0.55731251076085908</v>
      </c>
      <c r="F97" s="124">
        <f>PV(C93,D93,0,-F93)*Exchange_Rate</f>
        <v>0.76290281381120373</v>
      </c>
      <c r="H97" s="124">
        <f>PV(C93,D93,0,-I93)*Exchange_Rate</f>
        <v>0.76290281381120373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4309.2000000000007</v>
      </c>
      <c r="E98" s="222"/>
      <c r="F98" s="222"/>
      <c r="H98" s="124">
        <f>C98*Data!$C$4/Common_Shares</f>
        <v>3.2318995960125513E-3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2146620.42</v>
      </c>
      <c r="E99" s="223"/>
      <c r="F99" s="148">
        <f>H99*0.85</f>
        <v>1.3684703466912065</v>
      </c>
      <c r="H99" s="148">
        <f>C99*Data!$C$4/Common_Shares</f>
        <v>1.6099651137543607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3159515.0988987405</v>
      </c>
      <c r="E100" s="110">
        <f>MAX(E97-H98+F99,0)</f>
        <v>1.9225509578560529</v>
      </c>
      <c r="F100" s="110">
        <f>MAX(F97-H98+F99,0)</f>
        <v>2.1281412609063977</v>
      </c>
      <c r="H100" s="110">
        <f>MAX(C100*Data!$C$4/Common_Shares,0)</f>
        <v>2.3696360279695519</v>
      </c>
      <c r="I100" s="110">
        <f>H100*1.25</f>
        <v>2.9620450349619398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1973295.0874880888</v>
      </c>
      <c r="E103" s="110">
        <f>PV(C94,D93,0,-F94)*Exchange_Rate</f>
        <v>1.0811422001955733</v>
      </c>
      <c r="F103" s="124">
        <f>PV(C93,D93,0,-F94)*Exchange_Rate</f>
        <v>1.4799711306196752</v>
      </c>
      <c r="H103" s="124">
        <f>PV(C93,D93,0,-I94)*Exchange_Rate</f>
        <v>1.4799711306196752</v>
      </c>
      <c r="I103" s="110">
        <f>H103*1.25</f>
        <v>1.849963913274594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2405408.5616934146</v>
      </c>
      <c r="E106" s="110">
        <f>(E100+E103)/2</f>
        <v>1.5018465790258131</v>
      </c>
      <c r="F106" s="124">
        <f>(F100+F103)/2</f>
        <v>1.8040561957630366</v>
      </c>
      <c r="H106" s="124">
        <f>(H100+H103)/2</f>
        <v>1.9248035792946134</v>
      </c>
      <c r="I106" s="110">
        <f>H106*1.25</f>
        <v>2.4060044741182667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disablePrompts="1"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2024-11-13T08:31:32Z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