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F562EA03-EBC5-4357-A0FA-CEB0730639BF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M52" i="2"/>
  <c r="F95" i="4" l="1"/>
  <c r="F97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<sst xmlns="http://schemas.openxmlformats.org/spreadsheetml/2006/main" count="392" uniqueCount="271">
  <si>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</si>
  <si>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</si>
  <si>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</si>
  <si>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</si>
  <si>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</si>
  <si>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</si>
  <si>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</si>
  <si>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</si>
  <si>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</si>
  <si>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</si>
  <si>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</si>
  <si>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</si>
  <si>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</si>
  <si>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</si>
  <si>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</si>
  <si>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</si>
  <si>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</si>
  <si>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</si>
  <si>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</si>
  <si>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</si>
  <si>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</si>
  <si>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</si>
  <si>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</si>
  <si>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</si>
  <si>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</si>
  <si>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</si>
  <si>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</si>
  <si>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</si>
  <si>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</si>
  <si>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</si>
  <si>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</si>
  <si>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</si>
  <si>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</si>
  <si>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</si>
  <si>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</si>
  <si>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</si>
  <si>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</si>
  <si>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</si>
  <si>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</si>
  <si>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</si>
  <si>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</si>
  <si>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</si>
  <si>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</si>
  <si>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</si>
  <si>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</si>
  <si>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</si>
  <si>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</si>
  <si>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</si>
  <si>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</si>
  <si>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</si>
  <si>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</si>
  <si>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</si>
  <si>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</si>
  <si>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</si>
  <si>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</si>
  <si>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</si>
  <si>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</si>
  <si>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</si>
  <si>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</si>
  <si>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</si>
  <si>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</si>
  <si>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</si>
  <si>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</si>
  <si>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</si>
  <si>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</si>
  <si>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</si>
  <si>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</si>
  <si>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</si>
  <si>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</si>
  <si>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</si>
  <si>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</si>
  <si>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</si>
  <si>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</si>
  <si>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</si>
  <si>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</si>
  <si>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</si>
  <si>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</si>
  <si>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</si>
  <si>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</si>
  <si>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</si>
  <si>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</si>
  <si>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</si>
  <si>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</si>
  <si>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</si>
  <si>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</si>
  <si>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</si>
  <si>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</si>
  <si>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</si>
  <si>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</si>
  <si>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</si>
  <si>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</si>
  <si>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</si>
  <si>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</si>
  <si>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</si>
  <si>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</si>
  <si>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</si>
  <si>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</si>
  <si>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</si>
  <si>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</si>
  <si>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</si>
  <si>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</si>
  <si>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</si>
  <si>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</si>
  <si>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</si>
  <si>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</si>
  <si>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</si>
  <si>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</si>
  <si>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</si>
  <si>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</si>
  <si>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</si>
  <si>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</si>
  <si>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</si>
  <si>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</si>
  <si>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</si>
  <si>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</si>
  <si>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</si>
  <si>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</si>
  <si>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</si>
  <si>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</si>
  <si>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</si>
  <si>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</si>
  <si>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</si>
  <si>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</si>
  <si>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</si>
  <si>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</si>
  <si>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</si>
  <si>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</si>
  <si>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</si>
  <si>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</si>
  <si>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</si>
  <si>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</si>
  <si>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</si>
  <si>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</si>
  <si>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</si>
  <si>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</si>
  <si>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</si>
  <si>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</si>
  <si>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</si>
  <si>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</si>
  <si>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</si>
  <si>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</si>
  <si>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</si>
  <si>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</si>
  <si>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</si>
  <si>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</si>
  <si>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</si>
  <si>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</si>
  <si>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</si>
  <si>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</si>
  <si>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</si>
  <si>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</si>
  <si>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</si>
  <si>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</si>
  <si>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</si>
  <si>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</si>
  <si>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</si>
  <si>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</si>
  <si>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</si>
  <si>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</si>
  <si>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</si>
  <si>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</si>
  <si>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</si>
  <si>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</si>
  <si>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</si>
  <si>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</si>
  <si>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</si>
  <si>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</si>
  <si>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</si>
  <si>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</si>
  <si>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</si>
  <si>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</si>
  <si>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</si>
  <si>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</si>
  <si>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</si>
  <si>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</si>
  <si>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</si>
  <si>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</si>
  <si>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</si>
  <si>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</si>
  <si>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</si>
  <si>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</si>
  <si>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</si>
  <si>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</si>
  <si>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</si>
  <si>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</si>
  <si>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</si>
  <si>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</si>
  <si>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</si>
  <si>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</si>
  <si>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</si>
  <si>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</si>
  <si>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</si>
  <si>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</si>
  <si>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</si>
  <si>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</si>
  <si>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</si>
  <si>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</si>
  <si>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</si>
  <si>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</si>
  <si>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</si>
  <si>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</si>
  <si>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</si>
  <si>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</si>
  <si>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</si>
  <si>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</si>
  <si>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</si>
  <si>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</si>
  <si>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</si>
  <si>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</si>
  <si>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</si>
  <si>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</si>
  <si>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</si>
  <si>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</si>
  <si>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</si>
  <si>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</si>
  <si>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</si>
  <si>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</si>
  <si>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</si>
  <si>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</si>
  <si>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</si>
  <si>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</si>
  <si>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</si>
  <si>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</si>
  <si>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</si>
  <si>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</si>
  <si>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</si>
  <si>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</si>
  <si>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</si>
  <si>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</si>
  <si>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</si>
  <si>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</si>
  <si>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</si>
  <si>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</si>
  <si>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</si>
  <si>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</si>
  <si>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</si>
  <si>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</si>
  <si>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</si>
  <si>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</si>
  <si>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</si>
  <si>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</si>
  <si>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</si>
  <si>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</si>
  <si>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</si>
  <si>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</si>
  <si>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</si>
  <si>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</si>
  <si>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</si>
  <si>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</si>
  <si>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</si>
  <si>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</si>
  <si>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</si>
  <si>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</si>
  <si>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</si>
  <si>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</si>
  <si>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</si>
  <si>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</si>
  <si>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</si>
  <si>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</si>
  <si>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</si>
  <si>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</si>
  <si>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</si>
  <si>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</si>
  <si>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0831.HK</t>
  </si>
  <si>
    <t>利亞零售</t>
  </si>
  <si>
    <t>HK Tax Rate</t>
  </si>
  <si>
    <t>disagree</t>
  </si>
  <si>
    <t>Commodity-type Business</t>
  </si>
  <si>
    <t>Avg</t>
  </si>
  <si>
    <t>HKD</t>
    <phoneticPr fontId="20" type="noConversion"/>
  </si>
  <si>
    <t>C0001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</si>
</sst>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3" zoomScaleNormal="100" workbookViewId="0">
      <selection activeCell="D13" sqref="D13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270</v>
      </c>
    </row>
    <row r="10" spans="1:5" ht="13.9" x14ac:dyDescent="0.4">
      <c r="B10" s="140" t="s">
        <v>218</v>
      </c>
      <c r="C10" s="193">
        <v>777416974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0.16500000000000001</v>
      </c>
      <c r="D16" s="24" t="s">
        <v>265</v>
      </c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0.14634146341463414</v>
      </c>
      <c r="D45" s="152">
        <f>IF(D44="","",D44*Exchange_Rate/Dashboard!$G$3)</f>
        <v>0.17073170731707318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268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0.06</v>
      </c>
      <c r="D98" s="266"/>
      <c r="E98" s="254">
        <v>0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0831.HK</v>
      </c>
      <c r="D3" s="278"/>
      <c r="E3" s="87"/>
      <c r="F3" s="3" t="s">
        <v>1</v>
      </c>
      <c r="G3" s="132">
        <v>0.41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利亞零售</v>
      </c>
      <c r="D4" s="280"/>
      <c r="E4" s="87"/>
      <c r="F4" s="3" t="s">
        <v>3</v>
      </c>
      <c r="G4" s="283">
        <f>Inputs!C10</f>
        <v>777416974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318.74095933999996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0.46570281556597115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3.9525516276755275E-2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259</v>
      </c>
      <c r="G24" s="268">
        <f>G3/(Fin_Analysis!H86*G7)</f>
        <v>-2.2961496806442452</v>
      </c>
    </row>
    <row r="25" spans="1:8" ht="15.75" customHeight="1" x14ac:dyDescent="0.4">
      <c r="B25" s="137" t="s">
        <v>244</v>
      </c>
      <c r="C25" s="171">
        <f>Fin_Analysis!I82</f>
        <v>0.11560295610891069</v>
      </c>
      <c r="F25" s="140" t="s">
        <v>175</v>
      </c>
      <c r="G25" s="171">
        <f>Fin_Analysis!I88</f>
        <v>-0.33602190448452368</v>
      </c>
    </row>
    <row r="26" spans="1:8" ht="15.75" customHeight="1" x14ac:dyDescent="0.4">
      <c r="B26" s="138" t="s">
        <v>174</v>
      </c>
      <c r="C26" s="171">
        <f>Fin_Analysis!I83</f>
        <v>-0.11179283029271934</v>
      </c>
      <c r="F26" s="141" t="s">
        <v>194</v>
      </c>
      <c r="G26" s="178">
        <f>Fin_Analysis!H88*Exchange_Rate/G3</f>
        <v>0.14634146341463414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0.7644732553101754</v>
      </c>
      <c r="E29" s="87"/>
      <c r="F29" s="131">
        <f>IF(Fin_Analysis!C108="Profit",Fin_Analysis!F100,IF(Fin_Analysis!C108="Dividend",Fin_Analysis!F103,Fin_Analysis!F106))</f>
        <v>0.24351196867391983</v>
      </c>
      <c r="G29" s="274">
        <f>IF(Fin_Analysis!C108="Profit",Fin_Analysis!I100,IF(Fin_Analysis!C108="Dividend",Fin_Analysis!I103,Fin_Analysis!I106))</f>
        <v>0.66475935244363082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0.46570281556597115</v>
      </c>
      <c r="D42" s="156">
        <f t="shared" si="34"/>
        <v>0.49445813144625883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0.49096154234108225</v>
      </c>
      <c r="D43" s="153">
        <f t="shared" si="35"/>
        <v>0.45503751544914633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3.9525516276755275E-2</v>
      </c>
      <c r="D44" s="153">
        <f t="shared" si="36"/>
        <v>2.6215013835872644E-2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0.11560295610891069</v>
      </c>
      <c r="D47" s="153">
        <f t="shared" ref="D47:M47" si="39">IF(D6="","",ABS(MAX(D21,0)-MAX(D19,0))/D6)</f>
        <v>8.8749193363156106E-2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-0.11179283029271934</v>
      </c>
      <c r="D48" s="153">
        <f t="shared" si="40"/>
        <v>-6.445985409443393E-2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2.4262362750763642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96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165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161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-0.43551167784472294</v>
      </c>
      <c r="D87" s="209"/>
      <c r="E87" s="262">
        <f>E86*Exchange_Rate/Dashboard!G3</f>
        <v>-0.43551167784472294</v>
      </c>
      <c r="F87" s="209"/>
      <c r="H87" s="262">
        <f>H86*Exchange_Rate/Dashboard!G3</f>
        <v>-0.43551167784472294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0.06</v>
      </c>
      <c r="D88" s="166">
        <f>C88/C86</f>
        <v>-0.33602190448452368</v>
      </c>
      <c r="E88" s="170">
        <f>Inputs!E98</f>
        <v>0</v>
      </c>
      <c r="F88" s="166">
        <f>E88/E86</f>
        <v>0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222</v>
      </c>
      <c r="C89" s="261">
        <f>C88*Exchange_Rate/Dashboard!G3</f>
        <v>0.14634146341463414</v>
      </c>
      <c r="D89" s="209"/>
      <c r="E89" s="261">
        <f>E88*Exchange_Rate/Dashboard!G3</f>
        <v>0</v>
      </c>
      <c r="F89" s="209"/>
      <c r="H89" s="261">
        <f>H88*Exchange_Rate/Dashboard!G3</f>
        <v>0.14634146341463414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-0.16881332318123474</v>
      </c>
      <c r="H93" s="87" t="s">
        <v>210</v>
      </c>
      <c r="I93" s="144">
        <f>FV(H87,D93,0,-(H86/(C93-D94)))*Exchange_Rate</f>
        <v>-0.16881332318123474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1.9591581937382534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-65248.650858260153</v>
      </c>
      <c r="D97" s="213"/>
      <c r="E97" s="123">
        <f>PV(C94,D93,0,-F93)</f>
        <v>-8.3930056894101407E-2</v>
      </c>
      <c r="F97" s="213"/>
      <c r="H97" s="123">
        <f>PV(C94,D93,0,-I93)</f>
        <v>-8.3930056894101407E-2</v>
      </c>
      <c r="I97" s="123">
        <f>PV(C93,D93,0,-I93)</f>
        <v>-0.11455964685290521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-65248.650858260153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757241.35127704625</v>
      </c>
      <c r="D103" s="109">
        <f>MIN(F103*(1-C94),E103)</f>
        <v>0</v>
      </c>
      <c r="E103" s="123">
        <f>PV(C94,D93,0,-F94)</f>
        <v>0</v>
      </c>
      <c r="F103" s="109">
        <f>(E103+H103)/2</f>
        <v>0.48702393734783966</v>
      </c>
      <c r="H103" s="123">
        <f>PV(C94,D93,0,-I94)</f>
        <v>0.97404787469567933</v>
      </c>
      <c r="I103" s="109">
        <f>PV(C93,D93,0,-I94)</f>
        <v>1.3295187048872616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0.24351196867391983</v>
      </c>
      <c r="H106" s="123">
        <f>(H100+H103)/2</f>
        <v>0.48702393734783966</v>
      </c>
      <c r="I106" s="123">
        <f>(I100+I103)/2</f>
        <v>0.66475935244363082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2024-12-13T07:23:45Z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