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13_ncr:1_{763255AA-FE8F-8549-AFFF-832D7998322E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47" i="2" l="1"/>
  <c r="E47" i="2"/>
  <c r="F47" i="2"/>
  <c r="G47" i="2"/>
  <c r="H47" i="2"/>
  <c r="I47" i="2"/>
  <c r="J47" i="2"/>
  <c r="K47" i="2"/>
  <c r="L47" i="2"/>
  <c r="M47" i="2"/>
  <c r="C47" i="2"/>
  <c r="D22" i="2"/>
  <c r="E22" i="2"/>
  <c r="F22" i="2"/>
  <c r="G22" i="2"/>
  <c r="H22" i="2"/>
  <c r="I22" i="2"/>
  <c r="J22" i="2"/>
  <c r="K22" i="2"/>
  <c r="L22" i="2"/>
  <c r="M22" i="2"/>
  <c r="C22" i="2"/>
  <c r="E12" i="2" l="1"/>
  <c r="F12" i="2"/>
  <c r="G12" i="2"/>
  <c r="H12" i="2"/>
  <c r="I12" i="2"/>
  <c r="J12" i="2"/>
  <c r="K12" i="2"/>
  <c r="L12" i="2"/>
  <c r="M12" i="2"/>
  <c r="M15" i="2" l="1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4" i="4" l="1"/>
  <c r="F36" i="3"/>
  <c r="F37" i="3"/>
  <c r="F35" i="3"/>
  <c r="F20" i="3"/>
  <c r="F19" i="3"/>
  <c r="D42" i="4" l="1"/>
  <c r="D48" i="4" s="1"/>
  <c r="D51" i="4"/>
  <c r="D61" i="4"/>
  <c r="D60" i="4"/>
  <c r="D59" i="4"/>
  <c r="D47" i="4"/>
  <c r="D54" i="4"/>
  <c r="D55" i="4" s="1"/>
  <c r="D53" i="4"/>
  <c r="D52" i="4"/>
  <c r="D50" i="4"/>
  <c r="D63" i="4" s="1"/>
  <c r="D45" i="4" l="1"/>
  <c r="H88" i="3" l="1"/>
  <c r="E88" i="3" s="1"/>
  <c r="C88" i="3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3" i="2"/>
  <c r="D34" i="2"/>
  <c r="D28" i="2"/>
  <c r="C21" i="2"/>
  <c r="C80" i="3" s="1"/>
  <c r="C16" i="2"/>
  <c r="C17" i="2"/>
  <c r="C79" i="3" s="1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E96" i="3"/>
  <c r="F84" i="3"/>
  <c r="M14" i="2" l="1"/>
  <c r="L15" i="2" s="1"/>
  <c r="M46" i="2"/>
  <c r="J14" i="2"/>
  <c r="J46" i="2"/>
  <c r="L14" i="2"/>
  <c r="L46" i="2"/>
  <c r="K14" i="2"/>
  <c r="J15" i="2" s="1"/>
  <c r="K46" i="2"/>
  <c r="I46" i="2"/>
  <c r="I14" i="2"/>
  <c r="H46" i="2"/>
  <c r="H14" i="2"/>
  <c r="F46" i="2"/>
  <c r="F14" i="2"/>
  <c r="G46" i="2"/>
  <c r="E46" i="2"/>
  <c r="C46" i="2"/>
  <c r="D46" i="2"/>
  <c r="C77" i="3"/>
  <c r="I51" i="2"/>
  <c r="I50" i="2"/>
  <c r="J50" i="2"/>
  <c r="H51" i="2"/>
  <c r="K15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E5" i="4"/>
  <c r="F9" i="2"/>
  <c r="E9" i="2"/>
  <c r="E14" i="2" s="1"/>
  <c r="L7" i="2"/>
  <c r="C7" i="2"/>
  <c r="M18" i="2"/>
  <c r="E7" i="2"/>
  <c r="C18" i="2"/>
  <c r="D9" i="2"/>
  <c r="D14" i="2" s="1"/>
  <c r="H7" i="2"/>
  <c r="H9" i="2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F3" i="2" l="1"/>
  <c r="M13" i="2"/>
  <c r="F15" i="2"/>
  <c r="H15" i="2"/>
  <c r="G15" i="2"/>
  <c r="C15" i="2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5" i="2" l="1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J54" i="2" l="1"/>
  <c r="H54" i="2"/>
  <c r="I54" i="2"/>
  <c r="F54" i="2"/>
  <c r="I94" i="3"/>
  <c r="H103" i="3" s="1"/>
  <c r="G26" i="1"/>
  <c r="C82" i="3"/>
  <c r="C96" i="3"/>
  <c r="C102" i="3" s="1"/>
  <c r="C105" i="3" s="1"/>
  <c r="B96" i="3"/>
  <c r="C81" i="3"/>
  <c r="G33" i="3"/>
  <c r="C44" i="2"/>
  <c r="C29" i="2"/>
  <c r="C50" i="2" s="1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C51" i="2" s="1"/>
  <c r="E9" i="3"/>
  <c r="E6" i="1" s="1"/>
  <c r="F94" i="3" l="1"/>
  <c r="C103" i="3"/>
  <c r="I15" i="3"/>
  <c r="D56" i="3" s="1"/>
  <c r="C62" i="3"/>
  <c r="E103" i="3" l="1"/>
  <c r="F103" i="3" s="1"/>
  <c r="C26" i="2"/>
  <c r="B73" i="3"/>
  <c r="C74" i="3"/>
  <c r="H74" i="3" s="1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E74" i="3" l="1"/>
  <c r="D103" i="3"/>
  <c r="I103" i="3"/>
  <c r="H53" i="2"/>
  <c r="D77" i="3"/>
  <c r="H77" i="3" s="1"/>
  <c r="D53" i="2"/>
  <c r="E24" i="2"/>
  <c r="D81" i="3"/>
  <c r="H81" i="3" s="1"/>
  <c r="C76" i="3"/>
  <c r="C78" i="3" s="1"/>
  <c r="D82" i="3"/>
  <c r="H82" i="3" s="1"/>
  <c r="D75" i="3"/>
  <c r="H75" i="3" s="1"/>
  <c r="D80" i="3"/>
  <c r="H80" i="3" s="1"/>
  <c r="I80" i="3" s="1"/>
  <c r="D79" i="3"/>
  <c r="H79" i="3" s="1"/>
  <c r="C28" i="3"/>
  <c r="C28" i="2" s="1"/>
  <c r="E75" i="3" l="1"/>
  <c r="F75" i="3" s="1"/>
  <c r="G24" i="2"/>
  <c r="J48" i="2"/>
  <c r="D24" i="2"/>
  <c r="L48" i="2"/>
  <c r="I77" i="3"/>
  <c r="E77" i="3" s="1"/>
  <c r="F77" i="3" s="1"/>
  <c r="F4" i="2"/>
  <c r="I75" i="3"/>
  <c r="I79" i="3"/>
  <c r="I81" i="3"/>
  <c r="C83" i="3"/>
  <c r="C85" i="3" s="1"/>
  <c r="I82" i="3"/>
  <c r="F82" i="3" s="1"/>
  <c r="E82" i="3" s="1"/>
  <c r="E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C23" i="1"/>
  <c r="C20" i="1"/>
  <c r="E76" i="3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J47" i="3" l="1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H99" i="3" l="1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E6" i="3" l="1"/>
  <c r="E78" i="3" l="1"/>
  <c r="F80" i="3" l="1"/>
  <c r="E83" i="3"/>
  <c r="E85" i="3" s="1"/>
  <c r="E86" i="3" s="1"/>
  <c r="F83" i="3" l="1"/>
  <c r="F88" i="3"/>
  <c r="E87" i="3"/>
  <c r="F93" i="3" s="1"/>
  <c r="F85" i="3"/>
  <c r="E97" i="3" l="1"/>
  <c r="E100" i="3" l="1"/>
  <c r="E106" i="3" l="1"/>
  <c r="G29" i="1" s="1"/>
  <c r="F100" i="3"/>
  <c r="C106" i="3" l="1"/>
  <c r="I100" i="3"/>
  <c r="I106" i="3" s="1"/>
  <c r="D29" i="1" s="1"/>
  <c r="D100" i="3"/>
  <c r="D106" i="3" s="1"/>
  <c r="C29" i="1" s="1"/>
  <c r="F106" i="3"/>
  <c r="F29" i="1" s="1"/>
</calcChain>
</file>

<file path=xl/sharedStrings.xml><?xml version="1.0" encoding="utf-8"?>
<sst xmlns="http://schemas.openxmlformats.org/spreadsheetml/2006/main" count="371" uniqueCount="269">
  <si>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</si>
  <si>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</si>
  <si>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</si>
  <si>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</si>
  <si>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</si>
  <si>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</si>
  <si>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</si>
  <si>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</si>
  <si>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</si>
  <si>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</si>
  <si>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</si>
  <si>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</si>
  <si>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</si>
  <si>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</si>
  <si>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</si>
  <si>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</si>
  <si>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</si>
  <si>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</si>
  <si>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</si>
  <si>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</si>
  <si>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</si>
  <si>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</si>
  <si>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</si>
  <si>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</si>
  <si>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</si>
  <si>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</si>
  <si>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</si>
  <si>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</si>
  <si>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</si>
  <si>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</si>
  <si>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</si>
  <si>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</si>
  <si>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</si>
  <si>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</si>
  <si>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</si>
  <si>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</si>
  <si>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</si>
  <si>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</si>
  <si>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</si>
  <si>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</si>
  <si>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</si>
  <si>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</si>
  <si>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</si>
  <si>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</si>
  <si>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</si>
  <si>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</si>
  <si>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</si>
  <si>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</si>
  <si>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</si>
  <si>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</si>
  <si>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</si>
  <si>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</si>
  <si>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</si>
  <si>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</si>
  <si>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</si>
  <si>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</si>
  <si>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</si>
  <si>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</si>
  <si>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</si>
  <si>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</si>
  <si>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</si>
  <si>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</si>
  <si>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</si>
  <si>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</si>
  <si>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</si>
  <si>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</si>
  <si>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</si>
  <si>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</si>
  <si>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</si>
  <si>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</si>
  <si>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</si>
  <si>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</si>
  <si>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</si>
  <si>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</si>
  <si>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</si>
  <si>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</si>
  <si>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</si>
  <si>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</si>
  <si>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</si>
  <si>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</si>
  <si>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</si>
  <si>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</si>
  <si>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</si>
  <si>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</si>
  <si>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</si>
  <si>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</si>
  <si>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</si>
  <si>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</si>
  <si>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</si>
  <si>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</si>
  <si>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</si>
  <si>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</si>
  <si>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</si>
  <si>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</si>
  <si>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</si>
  <si>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</si>
  <si>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</si>
  <si>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</si>
  <si>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</si>
  <si>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</si>
  <si>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</si>
  <si>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</si>
  <si>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</si>
  <si>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</si>
  <si>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</si>
  <si>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</si>
  <si>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</si>
  <si>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</si>
  <si>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</si>
  <si>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</si>
  <si>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</si>
  <si>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</si>
  <si>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</si>
  <si>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</si>
  <si>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</si>
  <si>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</si>
  <si>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</si>
  <si>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</si>
  <si>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</si>
  <si>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</si>
  <si>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</si>
  <si>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</si>
  <si>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</si>
  <si>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</si>
  <si>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</si>
  <si>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</si>
  <si>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</si>
  <si>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</si>
  <si>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</si>
  <si>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</si>
  <si>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</si>
  <si>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</si>
  <si>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</si>
  <si>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</si>
  <si>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</si>
  <si>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</si>
  <si>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</si>
  <si>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</si>
  <si>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</si>
  <si>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</si>
  <si>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</si>
  <si>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</si>
  <si>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</si>
  <si>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</si>
  <si>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</si>
  <si>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</si>
  <si>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</si>
  <si>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</si>
  <si>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</si>
  <si>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</si>
  <si>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</si>
  <si>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</si>
  <si>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</si>
  <si>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</si>
  <si>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</si>
  <si>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</si>
  <si>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</si>
  <si>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</si>
  <si>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</si>
  <si>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</si>
  <si>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</si>
  <si>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</si>
  <si>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</si>
  <si>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</si>
  <si>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</si>
  <si>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</si>
  <si>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</si>
  <si>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</si>
  <si>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</si>
  <si>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</si>
  <si>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</si>
  <si>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</si>
  <si>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</si>
  <si>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</si>
  <si>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</si>
  <si>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</si>
  <si>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</si>
  <si>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</si>
  <si>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</si>
  <si>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</si>
  <si>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</si>
  <si>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</si>
  <si>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</si>
  <si>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</si>
  <si>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</si>
  <si>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</si>
  <si>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</si>
  <si>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</si>
  <si>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</si>
  <si>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</si>
  <si>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</si>
  <si>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</si>
  <si>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</si>
  <si>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</si>
  <si>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</si>
  <si>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</si>
  <si>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</si>
  <si>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</si>
  <si>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</si>
  <si>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</si>
  <si>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</si>
  <si>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</si>
  <si>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</si>
  <si>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</si>
  <si>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</si>
  <si>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</si>
  <si>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</si>
  <si>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</si>
  <si>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</si>
  <si>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</si>
  <si>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</si>
  <si>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</si>
  <si>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</si>
  <si>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</si>
  <si>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</si>
  <si>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</si>
  <si>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</si>
  <si>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</si>
  <si>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</si>
  <si>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</si>
  <si>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</si>
  <si>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</si>
  <si>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</si>
  <si>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</si>
  <si>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</si>
  <si>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</si>
  <si>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</si>
  <si>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</si>
  <si>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</si>
  <si>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</si>
  <si>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</si>
  <si>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</si>
  <si>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</si>
  <si>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</si>
  <si>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</si>
  <si>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</si>
  <si>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</si>
  <si>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</si>
  <si>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</si>
  <si>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</si>
  <si>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</si>
  <si>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Strongly agree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</si>
  <si>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</si>
  <si>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</si>
  <si>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</si>
  <si>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</si>
  <si>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</si>
  <si>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</si>
  <si>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</si>
  <si>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</si>
  <si>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Pessimistic Case</t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</si>
  <si>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</si>
  <si>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</si>
  <si>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</si>
  <si>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</si>
  <si>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</si>
  <si>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Avg</t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</si>
  <si>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</si>
  <si>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</si>
  <si>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</si>
  <si>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</si>
  <si>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6601.HK</t>
  </si>
  <si>
    <t>朝云集团</t>
  </si>
  <si>
    <t>C0007</t>
  </si>
  <si>
    <t>CNY</t>
  </si>
  <si>
    <t>CN</t>
  </si>
  <si>
    <t>Commodity-type Business</t>
  </si>
  <si>
    <t>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</si>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</sst>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6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72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left"/>
    </xf>
    <xf numFmtId="172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67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73" fontId="6" fillId="0" borderId="3" xfId="0" applyNumberFormat="1" applyFont="1" applyBorder="1" applyAlignment="1">
      <alignment horizontal="right"/>
    </xf>
    <xf numFmtId="173" fontId="1" fillId="0" borderId="11" xfId="0" applyNumberFormat="1" applyFont="1" applyBorder="1" applyAlignment="1">
      <alignment horizontal="right"/>
    </xf>
    <xf numFmtId="173" fontId="2" fillId="0" borderId="4" xfId="0" applyNumberFormat="1" applyFont="1" applyBorder="1" applyAlignment="1">
      <alignment horizontal="right"/>
    </xf>
    <xf numFmtId="173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67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65" fontId="2" fillId="9" borderId="14" xfId="0" applyNumberFormat="1" applyFont="1" applyFill="1" applyBorder="1" applyAlignment="1">
      <alignment horizontal="right"/>
    </xf>
    <xf numFmtId="171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73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74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69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69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69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69" fontId="6" fillId="0" borderId="14" xfId="0" applyNumberFormat="1" applyFont="1" applyBorder="1" applyAlignment="1">
      <alignment horizontal="left"/>
    </xf>
    <xf numFmtId="173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0" borderId="0" xfId="0" applyFont="1"/>
    <xf numFmtId="0" fontId="2" fillId="9" borderId="18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" fillId="9" borderId="18" xfId="0" applyFont="1" applyFill="1" applyBorder="1" applyAlignment="1">
      <alignment horizontal="center" vertical="center"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65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69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Interest</c:v>
                </c:pt>
                <c:pt idx="3">
                  <c:v>CAPX-D&amp;A</c:v>
                </c:pt>
                <c:pt idx="4">
                  <c:v>ΔWC</c:v>
                </c:pt>
                <c:pt idx="5">
                  <c:v>Non-controlling Interests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0.55541924442229906</c:v>
                </c:pt>
                <c:pt idx="1">
                  <c:v>0.37949349616392825</c:v>
                </c:pt>
                <c:pt idx="2">
                  <c:v>6.208277497005729E-4</c:v>
                </c:pt>
                <c:pt idx="3">
                  <c:v>0</c:v>
                </c:pt>
                <c:pt idx="4">
                  <c:v>0</c:v>
                </c:pt>
                <c:pt idx="5">
                  <c:v>1.8148224946381651E-3</c:v>
                </c:pt>
                <c:pt idx="6">
                  <c:v>6.2651609169433978E-2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D30" sqref="D30"/>
    </sheetView>
  </sheetViews>
  <sheetFormatPr baseColWidth="10" defaultColWidth="8.83203125" defaultRowHeight="13" x14ac:dyDescent="0.15"/>
  <cols>
    <col min="1" max="1" width="3" customWidth="1"/>
    <col min="2" max="2" width="27.33203125" customWidth="1"/>
    <col min="3" max="13" width="24.6640625" customWidth="1"/>
  </cols>
  <sheetData>
    <row r="2" spans="1:6" ht="16" x14ac:dyDescent="0.2">
      <c r="A2" s="5"/>
      <c r="B2" s="6" t="s">
        <v>223</v>
      </c>
    </row>
    <row r="4" spans="1:6" ht="14" x14ac:dyDescent="0.15">
      <c r="B4" s="141" t="s">
        <v>202</v>
      </c>
      <c r="C4" s="192" t="s">
        <v>261</v>
      </c>
      <c r="E4" s="234" t="s">
        <v>215</v>
      </c>
      <c r="F4" s="12" t="str">
        <f>C11</f>
        <v>CNY</v>
      </c>
    </row>
    <row r="5" spans="1:6" ht="14" x14ac:dyDescent="0.15">
      <c r="B5" s="141" t="s">
        <v>203</v>
      </c>
      <c r="C5" s="195" t="s">
        <v>262</v>
      </c>
      <c r="E5" s="228">
        <f>C18</f>
        <v>45291</v>
      </c>
      <c r="F5" s="229">
        <v>0.1178</v>
      </c>
    </row>
    <row r="6" spans="1:6" ht="14" x14ac:dyDescent="0.15">
      <c r="B6" s="141" t="s">
        <v>168</v>
      </c>
      <c r="C6" s="193">
        <v>45593</v>
      </c>
      <c r="E6" s="230" t="s">
        <v>213</v>
      </c>
      <c r="F6" s="229">
        <v>0.1178</v>
      </c>
    </row>
    <row r="7" spans="1:6" ht="14" x14ac:dyDescent="0.15">
      <c r="B7" s="140" t="s">
        <v>4</v>
      </c>
      <c r="C7" s="194">
        <v>8</v>
      </c>
    </row>
    <row r="8" spans="1:6" ht="14" x14ac:dyDescent="0.15">
      <c r="B8" s="140" t="s">
        <v>224</v>
      </c>
      <c r="C8" s="195" t="s">
        <v>46</v>
      </c>
    </row>
    <row r="9" spans="1:6" ht="14" x14ac:dyDescent="0.15">
      <c r="B9" s="140" t="s">
        <v>225</v>
      </c>
      <c r="C9" s="196" t="s">
        <v>263</v>
      </c>
    </row>
    <row r="10" spans="1:6" ht="14" x14ac:dyDescent="0.15">
      <c r="B10" s="140" t="s">
        <v>226</v>
      </c>
      <c r="C10" s="197">
        <v>1333333500</v>
      </c>
    </row>
    <row r="11" spans="1:6" ht="14" x14ac:dyDescent="0.15">
      <c r="B11" s="140" t="s">
        <v>227</v>
      </c>
      <c r="C11" s="196" t="s">
        <v>264</v>
      </c>
    </row>
    <row r="12" spans="1:6" ht="14" x14ac:dyDescent="0.15">
      <c r="B12" s="224" t="s">
        <v>10</v>
      </c>
      <c r="C12" s="225">
        <v>45291</v>
      </c>
    </row>
    <row r="13" spans="1:6" ht="14" x14ac:dyDescent="0.15">
      <c r="B13" s="224" t="s">
        <v>11</v>
      </c>
      <c r="C13" s="226">
        <v>1000</v>
      </c>
    </row>
    <row r="14" spans="1:6" ht="14" x14ac:dyDescent="0.15">
      <c r="B14" s="224" t="s">
        <v>229</v>
      </c>
      <c r="C14" s="225">
        <v>45473</v>
      </c>
    </row>
    <row r="15" spans="1:6" ht="14" x14ac:dyDescent="0.15">
      <c r="B15" s="224" t="s">
        <v>228</v>
      </c>
      <c r="C15" s="179" t="s">
        <v>265</v>
      </c>
    </row>
    <row r="16" spans="1:6" ht="14" x14ac:dyDescent="0.15">
      <c r="B16" s="231" t="s">
        <v>97</v>
      </c>
      <c r="C16" s="232">
        <v>0.25</v>
      </c>
      <c r="D16" s="24"/>
    </row>
    <row r="18" spans="2:13" ht="15" x14ac:dyDescent="0.15">
      <c r="B18" s="115" t="s">
        <v>137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5" x14ac:dyDescent="0.15">
      <c r="B19" s="94" t="s">
        <v>12</v>
      </c>
      <c r="C19" s="151">
        <v>1615585</v>
      </c>
      <c r="D19" s="151">
        <v>1446638</v>
      </c>
      <c r="E19" s="151">
        <v>1769157</v>
      </c>
      <c r="F19" s="151">
        <v>1702154</v>
      </c>
      <c r="G19" s="151">
        <v>1383402</v>
      </c>
      <c r="H19" s="151"/>
      <c r="I19" s="151"/>
      <c r="J19" s="151"/>
      <c r="K19" s="151"/>
      <c r="L19" s="151"/>
      <c r="M19" s="151"/>
    </row>
    <row r="20" spans="2:13" ht="15" x14ac:dyDescent="0.15">
      <c r="B20" s="97" t="s">
        <v>106</v>
      </c>
      <c r="C20" s="152">
        <v>897327</v>
      </c>
      <c r="D20" s="152">
        <v>845264</v>
      </c>
      <c r="E20" s="152">
        <v>981731</v>
      </c>
      <c r="F20" s="152">
        <v>959572</v>
      </c>
      <c r="G20" s="152">
        <v>783542</v>
      </c>
      <c r="H20" s="152"/>
      <c r="I20" s="152"/>
      <c r="J20" s="152"/>
      <c r="K20" s="152"/>
      <c r="L20" s="152"/>
      <c r="M20" s="152"/>
    </row>
    <row r="21" spans="2:13" ht="15" x14ac:dyDescent="0.15">
      <c r="B21" s="97" t="s">
        <v>104</v>
      </c>
      <c r="C21" s="152">
        <v>613104</v>
      </c>
      <c r="D21" s="152">
        <v>599182</v>
      </c>
      <c r="E21" s="152">
        <v>705390</v>
      </c>
      <c r="F21" s="152">
        <v>456610</v>
      </c>
      <c r="G21" s="152">
        <v>396643</v>
      </c>
      <c r="H21" s="152"/>
      <c r="I21" s="152"/>
      <c r="J21" s="152"/>
      <c r="K21" s="152"/>
      <c r="L21" s="152"/>
      <c r="M21" s="152"/>
    </row>
    <row r="22" spans="2:13" ht="15" x14ac:dyDescent="0.15">
      <c r="B22" s="97" t="s">
        <v>107</v>
      </c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</row>
    <row r="23" spans="2:13" ht="15" x14ac:dyDescent="0.15">
      <c r="B23" s="97" t="s">
        <v>124</v>
      </c>
      <c r="C23" s="152">
        <v>1003</v>
      </c>
      <c r="D23" s="152">
        <v>863</v>
      </c>
      <c r="E23" s="152">
        <v>1613</v>
      </c>
      <c r="F23" s="152">
        <v>2645</v>
      </c>
      <c r="G23" s="152">
        <v>299</v>
      </c>
      <c r="H23" s="152"/>
      <c r="I23" s="152"/>
      <c r="J23" s="152"/>
      <c r="K23" s="152"/>
      <c r="L23" s="152"/>
      <c r="M23" s="152"/>
    </row>
    <row r="24" spans="2:13" ht="14" x14ac:dyDescent="0.15">
      <c r="B24" s="99" t="s">
        <v>111</v>
      </c>
      <c r="C24" s="152">
        <v>2199</v>
      </c>
      <c r="D24" s="152">
        <v>645</v>
      </c>
      <c r="E24" s="152"/>
      <c r="F24" s="152"/>
      <c r="G24" s="152"/>
      <c r="H24" s="152"/>
      <c r="I24" s="152"/>
      <c r="J24" s="152"/>
      <c r="K24" s="152"/>
      <c r="L24" s="152"/>
      <c r="M24" s="152"/>
    </row>
    <row r="25" spans="2:13" ht="15" x14ac:dyDescent="0.15">
      <c r="B25" s="97" t="s">
        <v>110</v>
      </c>
      <c r="C25" s="152">
        <v>-169280</v>
      </c>
      <c r="D25" s="152">
        <v>-50846</v>
      </c>
      <c r="E25" s="152"/>
      <c r="F25" s="152"/>
      <c r="G25" s="152"/>
      <c r="H25" s="152"/>
      <c r="I25" s="152"/>
      <c r="J25" s="152"/>
      <c r="K25" s="152"/>
      <c r="L25" s="152"/>
      <c r="M25" s="152"/>
    </row>
    <row r="26" spans="2:13" ht="15" x14ac:dyDescent="0.15">
      <c r="B26" s="97" t="s">
        <v>105</v>
      </c>
      <c r="C26" s="152">
        <v>35974</v>
      </c>
      <c r="D26" s="152">
        <v>32106</v>
      </c>
      <c r="E26" s="152"/>
      <c r="F26" s="152"/>
      <c r="G26" s="152"/>
      <c r="H26" s="152"/>
      <c r="I26" s="152"/>
      <c r="J26" s="152"/>
      <c r="K26" s="152"/>
      <c r="L26" s="152"/>
      <c r="M26" s="152"/>
    </row>
    <row r="27" spans="2:13" ht="15" x14ac:dyDescent="0.15">
      <c r="B27" s="97" t="s">
        <v>108</v>
      </c>
      <c r="C27" s="152">
        <v>15312</v>
      </c>
      <c r="D27" s="152">
        <v>11600</v>
      </c>
      <c r="E27" s="152"/>
      <c r="F27" s="152"/>
      <c r="G27" s="152"/>
      <c r="H27" s="152"/>
      <c r="I27" s="152"/>
      <c r="J27" s="152"/>
      <c r="K27" s="152"/>
      <c r="L27" s="152"/>
      <c r="M27" s="152"/>
    </row>
    <row r="28" spans="2:13" ht="15" x14ac:dyDescent="0.15">
      <c r="B28" s="94" t="s">
        <v>15</v>
      </c>
      <c r="C28" s="223"/>
      <c r="D28" s="152"/>
      <c r="E28" s="152"/>
      <c r="F28" s="152"/>
      <c r="G28" s="152"/>
      <c r="H28" s="152"/>
      <c r="I28" s="152"/>
      <c r="J28" s="152"/>
      <c r="K28" s="152"/>
      <c r="L28" s="152"/>
      <c r="M28" s="152"/>
    </row>
    <row r="29" spans="2:13" ht="15" x14ac:dyDescent="0.15">
      <c r="B29" s="94" t="s">
        <v>117</v>
      </c>
      <c r="C29" s="223"/>
      <c r="D29" s="152"/>
      <c r="E29" s="152"/>
      <c r="F29" s="152"/>
      <c r="G29" s="152"/>
      <c r="H29" s="152"/>
      <c r="I29" s="152"/>
      <c r="J29" s="152"/>
      <c r="K29" s="152"/>
      <c r="L29" s="152"/>
      <c r="M29" s="152"/>
    </row>
    <row r="30" spans="2:13" ht="15" x14ac:dyDescent="0.15">
      <c r="B30" s="94" t="s">
        <v>152</v>
      </c>
      <c r="C30" s="223"/>
      <c r="D30" s="152"/>
      <c r="E30" s="152"/>
      <c r="F30" s="152"/>
      <c r="G30" s="152"/>
      <c r="H30" s="152"/>
      <c r="I30" s="152"/>
      <c r="J30" s="152"/>
      <c r="K30" s="152"/>
      <c r="L30" s="152"/>
      <c r="M30" s="152"/>
    </row>
    <row r="31" spans="2:13" ht="15" x14ac:dyDescent="0.15">
      <c r="B31" s="94" t="s">
        <v>16</v>
      </c>
      <c r="C31" s="223"/>
      <c r="D31" s="152">
        <v>734909</v>
      </c>
      <c r="E31" s="152">
        <v>677999</v>
      </c>
      <c r="F31" s="152">
        <v>1352795</v>
      </c>
      <c r="G31" s="152">
        <v>1205068</v>
      </c>
      <c r="H31" s="152"/>
      <c r="I31" s="152"/>
      <c r="J31" s="152"/>
      <c r="K31" s="152"/>
      <c r="L31" s="152"/>
      <c r="M31" s="152"/>
    </row>
    <row r="32" spans="2:13" ht="15" x14ac:dyDescent="0.15">
      <c r="B32" s="94" t="s">
        <v>116</v>
      </c>
      <c r="C32" s="223"/>
      <c r="D32" s="152">
        <v>18682</v>
      </c>
      <c r="E32" s="152">
        <v>61277</v>
      </c>
      <c r="F32" s="152">
        <v>51229</v>
      </c>
      <c r="G32" s="152">
        <v>23195</v>
      </c>
      <c r="H32" s="152"/>
      <c r="I32" s="152"/>
      <c r="J32" s="152"/>
      <c r="K32" s="152"/>
      <c r="L32" s="152"/>
      <c r="M32" s="152"/>
    </row>
    <row r="33" spans="2:13" ht="15" x14ac:dyDescent="0.15">
      <c r="B33" s="94" t="s">
        <v>17</v>
      </c>
      <c r="C33" s="223"/>
      <c r="D33" s="152">
        <v>6202</v>
      </c>
      <c r="E33" s="152">
        <v>5517</v>
      </c>
      <c r="F33" s="152">
        <v>301783</v>
      </c>
      <c r="G33" s="152">
        <v>3225</v>
      </c>
      <c r="H33" s="152"/>
      <c r="I33" s="152"/>
      <c r="J33" s="152"/>
      <c r="K33" s="152"/>
      <c r="L33" s="152"/>
      <c r="M33" s="152"/>
    </row>
    <row r="34" spans="2:13" ht="15" x14ac:dyDescent="0.15">
      <c r="B34" s="94" t="s">
        <v>18</v>
      </c>
      <c r="C34" s="223"/>
      <c r="D34" s="152">
        <v>10412</v>
      </c>
      <c r="E34" s="152">
        <v>9392</v>
      </c>
      <c r="F34" s="152">
        <v>5096</v>
      </c>
      <c r="G34" s="152">
        <v>6880</v>
      </c>
      <c r="H34" s="152"/>
      <c r="I34" s="152"/>
      <c r="J34" s="152"/>
      <c r="K34" s="152"/>
      <c r="L34" s="152"/>
      <c r="M34" s="152"/>
    </row>
    <row r="35" spans="2:13" ht="15" x14ac:dyDescent="0.15">
      <c r="B35" s="94" t="s">
        <v>141</v>
      </c>
      <c r="C35" s="223"/>
      <c r="D35" s="152">
        <v>2824568</v>
      </c>
      <c r="E35" s="152">
        <v>2735259</v>
      </c>
      <c r="F35" s="152">
        <v>250534</v>
      </c>
      <c r="G35" s="152">
        <v>13930</v>
      </c>
      <c r="H35" s="152"/>
      <c r="I35" s="152"/>
      <c r="J35" s="152"/>
      <c r="K35" s="152"/>
      <c r="L35" s="152"/>
      <c r="M35" s="152"/>
    </row>
    <row r="36" spans="2:13" ht="15" x14ac:dyDescent="0.15">
      <c r="B36" s="94" t="s">
        <v>142</v>
      </c>
      <c r="C36" s="223"/>
      <c r="D36" s="152">
        <v>7297</v>
      </c>
      <c r="E36" s="152">
        <v>1498</v>
      </c>
      <c r="F36" s="152">
        <v>2853</v>
      </c>
      <c r="G36" s="152">
        <v>696</v>
      </c>
      <c r="H36" s="152"/>
      <c r="I36" s="152"/>
      <c r="J36" s="152"/>
      <c r="K36" s="152"/>
      <c r="L36" s="152"/>
      <c r="M36" s="152"/>
    </row>
    <row r="37" spans="2:13" ht="15" x14ac:dyDescent="0.15">
      <c r="B37" s="94" t="s">
        <v>140</v>
      </c>
      <c r="C37" s="223"/>
      <c r="D37" s="152">
        <v>2868641</v>
      </c>
      <c r="E37" s="152"/>
      <c r="F37" s="152"/>
      <c r="G37" s="152"/>
      <c r="H37" s="152"/>
      <c r="I37" s="152"/>
      <c r="J37" s="152"/>
      <c r="K37" s="152"/>
      <c r="L37" s="152"/>
      <c r="M37" s="152"/>
    </row>
    <row r="39" spans="2:13" ht="14" x14ac:dyDescent="0.15">
      <c r="B39" s="200" t="s">
        <v>33</v>
      </c>
      <c r="C39" s="198" t="s">
        <v>34</v>
      </c>
      <c r="D39" s="198" t="s">
        <v>204</v>
      </c>
      <c r="E39" s="111" t="s">
        <v>36</v>
      </c>
    </row>
    <row r="40" spans="2:13" ht="14" x14ac:dyDescent="0.15">
      <c r="B40" s="3" t="s">
        <v>38</v>
      </c>
      <c r="C40" s="59">
        <v>2385307</v>
      </c>
      <c r="D40" s="60">
        <v>0.9</v>
      </c>
      <c r="E40" s="112"/>
    </row>
    <row r="41" spans="2:13" ht="14" x14ac:dyDescent="0.15">
      <c r="B41" s="1" t="s">
        <v>139</v>
      </c>
      <c r="C41" s="59">
        <v>0</v>
      </c>
      <c r="D41" s="60">
        <v>0.8</v>
      </c>
      <c r="E41" s="112"/>
    </row>
    <row r="42" spans="2:13" ht="14" x14ac:dyDescent="0.15">
      <c r="B42" s="3" t="s">
        <v>117</v>
      </c>
      <c r="C42" s="59">
        <v>180994</v>
      </c>
      <c r="D42" s="60">
        <f>D43</f>
        <v>0.6</v>
      </c>
      <c r="E42" s="112"/>
    </row>
    <row r="43" spans="2:13" ht="14" x14ac:dyDescent="0.15">
      <c r="B43" s="3" t="s">
        <v>42</v>
      </c>
      <c r="C43" s="59">
        <v>0</v>
      </c>
      <c r="D43" s="60">
        <v>0.6</v>
      </c>
      <c r="E43" s="112"/>
    </row>
    <row r="44" spans="2:13" ht="14" x14ac:dyDescent="0.15">
      <c r="B44" s="3" t="s">
        <v>44</v>
      </c>
      <c r="C44" s="59">
        <v>253051</v>
      </c>
      <c r="D44" s="60">
        <v>0.5</v>
      </c>
      <c r="E44" s="112"/>
    </row>
    <row r="45" spans="2:13" ht="14" x14ac:dyDescent="0.15">
      <c r="B45" s="1" t="s">
        <v>163</v>
      </c>
      <c r="C45" s="59">
        <v>0</v>
      </c>
      <c r="D45" s="60">
        <f>D42</f>
        <v>0.6</v>
      </c>
      <c r="E45" s="112"/>
    </row>
    <row r="46" spans="2:13" ht="14" x14ac:dyDescent="0.15">
      <c r="B46" s="3" t="s">
        <v>118</v>
      </c>
      <c r="C46" s="59">
        <v>0</v>
      </c>
      <c r="D46" s="60">
        <v>0.1</v>
      </c>
      <c r="E46" s="112"/>
    </row>
    <row r="47" spans="2:13" ht="14" x14ac:dyDescent="0.15">
      <c r="B47" s="3" t="s">
        <v>47</v>
      </c>
      <c r="C47" s="59">
        <v>158110</v>
      </c>
      <c r="D47" s="60">
        <f>D44</f>
        <v>0.5</v>
      </c>
      <c r="E47" s="112"/>
    </row>
    <row r="48" spans="2:13" ht="14" x14ac:dyDescent="0.15">
      <c r="B48" s="1" t="s">
        <v>48</v>
      </c>
      <c r="C48" s="59">
        <v>0</v>
      </c>
      <c r="D48" s="60">
        <f>D42</f>
        <v>0.6</v>
      </c>
      <c r="E48" s="227" t="s">
        <v>71</v>
      </c>
    </row>
    <row r="49" spans="2:5" ht="14" x14ac:dyDescent="0.15">
      <c r="B49" s="3" t="s">
        <v>120</v>
      </c>
      <c r="C49" s="59">
        <v>0</v>
      </c>
      <c r="D49" s="60">
        <v>0.6</v>
      </c>
      <c r="E49" s="227" t="s">
        <v>46</v>
      </c>
    </row>
    <row r="50" spans="2:5" ht="14" x14ac:dyDescent="0.15">
      <c r="B50" s="3" t="s">
        <v>50</v>
      </c>
      <c r="C50" s="59">
        <v>5912</v>
      </c>
      <c r="D50" s="60">
        <f>D40</f>
        <v>0.9</v>
      </c>
      <c r="E50" s="112"/>
    </row>
    <row r="51" spans="2:5" ht="14" x14ac:dyDescent="0.15">
      <c r="B51" s="35" t="s">
        <v>51</v>
      </c>
      <c r="C51" s="120">
        <v>0</v>
      </c>
      <c r="D51" s="199">
        <f>D62</f>
        <v>0.05</v>
      </c>
      <c r="E51" s="112"/>
    </row>
    <row r="52" spans="2:5" ht="14" x14ac:dyDescent="0.15">
      <c r="B52" s="3" t="s">
        <v>61</v>
      </c>
      <c r="C52" s="59">
        <v>279425</v>
      </c>
      <c r="D52" s="60">
        <f>D41</f>
        <v>0.8</v>
      </c>
      <c r="E52" s="112"/>
    </row>
    <row r="53" spans="2:5" ht="14" x14ac:dyDescent="0.15">
      <c r="B53" s="3" t="s">
        <v>63</v>
      </c>
      <c r="C53" s="59">
        <v>126127</v>
      </c>
      <c r="D53" s="60">
        <f>D43</f>
        <v>0.6</v>
      </c>
      <c r="E53" s="112"/>
    </row>
    <row r="54" spans="2:5" ht="14" x14ac:dyDescent="0.15">
      <c r="B54" s="3" t="s">
        <v>65</v>
      </c>
      <c r="C54" s="59">
        <v>0</v>
      </c>
      <c r="D54" s="60">
        <f>D44</f>
        <v>0.5</v>
      </c>
      <c r="E54" s="112"/>
    </row>
    <row r="55" spans="2:5" ht="14" x14ac:dyDescent="0.15">
      <c r="B55" s="1" t="s">
        <v>164</v>
      </c>
      <c r="C55" s="59">
        <v>0</v>
      </c>
      <c r="D55" s="60">
        <f>D54</f>
        <v>0.5</v>
      </c>
      <c r="E55" s="112"/>
    </row>
    <row r="56" spans="2:5" ht="14" x14ac:dyDescent="0.15">
      <c r="B56" s="3" t="s">
        <v>68</v>
      </c>
      <c r="C56" s="59">
        <v>0</v>
      </c>
      <c r="D56" s="60">
        <v>0.4</v>
      </c>
      <c r="E56" s="112"/>
    </row>
    <row r="57" spans="2:5" ht="14" x14ac:dyDescent="0.15">
      <c r="B57" s="3" t="s">
        <v>70</v>
      </c>
      <c r="C57" s="59">
        <v>1500</v>
      </c>
      <c r="D57" s="60">
        <v>0.1</v>
      </c>
      <c r="E57" s="227" t="s">
        <v>71</v>
      </c>
    </row>
    <row r="58" spans="2:5" ht="14" x14ac:dyDescent="0.15">
      <c r="B58" s="3" t="s">
        <v>72</v>
      </c>
      <c r="C58" s="59">
        <v>0</v>
      </c>
      <c r="D58" s="60">
        <v>0.2</v>
      </c>
      <c r="E58" s="227" t="s">
        <v>71</v>
      </c>
    </row>
    <row r="59" spans="2:5" ht="14" x14ac:dyDescent="0.15">
      <c r="B59" s="1" t="s">
        <v>49</v>
      </c>
      <c r="C59" s="59">
        <v>0</v>
      </c>
      <c r="D59" s="60">
        <f>D57</f>
        <v>0.1</v>
      </c>
      <c r="E59" s="227" t="s">
        <v>46</v>
      </c>
    </row>
    <row r="60" spans="2:5" ht="14" x14ac:dyDescent="0.15">
      <c r="B60" s="3" t="s">
        <v>119</v>
      </c>
      <c r="C60" s="59">
        <v>193915</v>
      </c>
      <c r="D60" s="60">
        <f>D57</f>
        <v>0.1</v>
      </c>
      <c r="E60" s="112"/>
    </row>
    <row r="61" spans="2:5" ht="14" x14ac:dyDescent="0.15">
      <c r="B61" s="3" t="s">
        <v>73</v>
      </c>
      <c r="C61" s="59">
        <v>0</v>
      </c>
      <c r="D61" s="60">
        <f>D62</f>
        <v>0.05</v>
      </c>
      <c r="E61" s="112"/>
    </row>
    <row r="62" spans="2:5" ht="14" x14ac:dyDescent="0.15">
      <c r="B62" s="3" t="s">
        <v>74</v>
      </c>
      <c r="C62" s="59">
        <v>9704</v>
      </c>
      <c r="D62" s="60">
        <v>0.05</v>
      </c>
      <c r="E62" s="112"/>
    </row>
    <row r="63" spans="2:5" ht="14" x14ac:dyDescent="0.15">
      <c r="B63" s="3" t="s">
        <v>75</v>
      </c>
      <c r="C63" s="59">
        <v>76124</v>
      </c>
      <c r="D63" s="60">
        <f>D50</f>
        <v>0.9</v>
      </c>
      <c r="E63" s="112"/>
    </row>
    <row r="64" spans="2:5" ht="14" x14ac:dyDescent="0.15">
      <c r="B64" s="3" t="s">
        <v>76</v>
      </c>
      <c r="C64" s="59"/>
      <c r="D64" s="60">
        <v>0</v>
      </c>
      <c r="E64" s="112"/>
    </row>
    <row r="65" spans="2:3" ht="14" x14ac:dyDescent="0.15">
      <c r="B65" s="200" t="s">
        <v>37</v>
      </c>
      <c r="C65" s="198"/>
    </row>
    <row r="66" spans="2:3" ht="14" x14ac:dyDescent="0.15">
      <c r="B66" s="3" t="s">
        <v>39</v>
      </c>
      <c r="C66" s="59"/>
    </row>
    <row r="67" spans="2:3" ht="14" x14ac:dyDescent="0.15">
      <c r="B67" s="3" t="s">
        <v>40</v>
      </c>
      <c r="C67" s="59">
        <v>13416</v>
      </c>
    </row>
    <row r="68" spans="2:3" ht="14" x14ac:dyDescent="0.15">
      <c r="B68" s="3" t="s">
        <v>41</v>
      </c>
      <c r="C68" s="59"/>
    </row>
    <row r="69" spans="2:3" ht="14" x14ac:dyDescent="0.15">
      <c r="B69" s="86" t="s">
        <v>43</v>
      </c>
      <c r="C69" s="120"/>
    </row>
    <row r="70" spans="2:3" ht="15" thickBot="1" x14ac:dyDescent="0.2">
      <c r="B70" s="80" t="s">
        <v>16</v>
      </c>
      <c r="C70" s="83">
        <v>611931</v>
      </c>
    </row>
    <row r="71" spans="2:3" ht="15" thickTop="1" x14ac:dyDescent="0.15">
      <c r="B71" s="3" t="s">
        <v>62</v>
      </c>
      <c r="C71" s="59"/>
    </row>
    <row r="72" spans="2:3" ht="14" x14ac:dyDescent="0.15">
      <c r="B72" s="3" t="s">
        <v>64</v>
      </c>
      <c r="C72" s="59">
        <v>20583</v>
      </c>
    </row>
    <row r="73" spans="2:3" ht="14" x14ac:dyDescent="0.15">
      <c r="B73" s="3" t="s">
        <v>66</v>
      </c>
      <c r="C73" s="59"/>
    </row>
    <row r="74" spans="2:3" ht="14" x14ac:dyDescent="0.15">
      <c r="B74" s="86" t="s">
        <v>67</v>
      </c>
      <c r="C74" s="120"/>
    </row>
    <row r="75" spans="2:3" ht="15" thickBot="1" x14ac:dyDescent="0.2">
      <c r="B75" s="80" t="s">
        <v>85</v>
      </c>
      <c r="C75" s="83">
        <v>30946</v>
      </c>
    </row>
    <row r="76" spans="2:3" ht="15" thickTop="1" x14ac:dyDescent="0.15">
      <c r="B76" s="73" t="s">
        <v>230</v>
      </c>
      <c r="C76" s="59">
        <v>3023302</v>
      </c>
    </row>
    <row r="77" spans="2:3" ht="14" x14ac:dyDescent="0.15">
      <c r="B77" s="20" t="s">
        <v>91</v>
      </c>
      <c r="C77" s="59"/>
    </row>
    <row r="78" spans="2:3" ht="14" x14ac:dyDescent="0.15">
      <c r="B78" s="20" t="s">
        <v>93</v>
      </c>
      <c r="C78" s="59"/>
    </row>
    <row r="81" spans="2:2" ht="14" x14ac:dyDescent="0.15">
      <c r="B81" s="20"/>
    </row>
    <row r="85" spans="2:2" ht="14" x14ac:dyDescent="0.15">
      <c r="B85" s="20"/>
    </row>
    <row r="86" spans="2:2" ht="14" x14ac:dyDescent="0.15">
      <c r="B86" s="20"/>
    </row>
    <row r="87" spans="2:2" ht="14" x14ac:dyDescent="0.15">
      <c r="B87" s="20"/>
    </row>
  </sheetData>
  <phoneticPr fontId="20" type="noConversion"/>
  <conditionalFormatting sqref="C16 C19:M27">
    <cfRule type="containsBlanks" dxfId="18" priority="1">
      <formula>LEN(TRIM(C16))=0</formula>
    </cfRule>
  </conditionalFormatting>
  <conditionalFormatting sqref="D28:M37">
    <cfRule type="containsBlanks" dxfId="17" priority="7">
      <formula>LEN(TRIM(D28))=0</formula>
    </cfRule>
  </conditionalFormatting>
  <conditionalFormatting sqref="F5:F6">
    <cfRule type="containsBlanks" dxfId="16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15" sqref="D15"/>
    </sheetView>
  </sheetViews>
  <sheetFormatPr baseColWidth="10" defaultColWidth="12.33203125" defaultRowHeight="15" customHeight="1" x14ac:dyDescent="0.15"/>
  <cols>
    <col min="1" max="1" width="2.33203125" style="1" customWidth="1"/>
    <col min="2" max="2" width="30.6640625" style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87"/>
      <c r="C1" s="87"/>
      <c r="D1" s="87"/>
      <c r="E1" s="87"/>
      <c r="F1" s="87"/>
      <c r="G1" s="87"/>
      <c r="H1" s="87"/>
    </row>
    <row r="2" spans="1:10" ht="15.75" customHeight="1" x14ac:dyDescent="0.2">
      <c r="A2" s="5"/>
      <c r="B2" s="6" t="s">
        <v>0</v>
      </c>
      <c r="C2" s="25" t="str">
        <f>C3&amp;" : "&amp;C4</f>
        <v>6601.HK : 朝云集团</v>
      </c>
      <c r="D2" s="87"/>
      <c r="E2" s="7"/>
      <c r="F2" s="7"/>
      <c r="G2" s="86"/>
      <c r="H2" s="86"/>
    </row>
    <row r="3" spans="1:10" ht="15.75" customHeight="1" x14ac:dyDescent="0.15">
      <c r="B3" s="3" t="s">
        <v>202</v>
      </c>
      <c r="C3" s="252" t="str">
        <f>Inputs!C4</f>
        <v>6601.HK</v>
      </c>
      <c r="D3" s="253"/>
      <c r="E3" s="87"/>
      <c r="F3" s="3" t="s">
        <v>1</v>
      </c>
      <c r="G3" s="132">
        <v>1.9099999666214</v>
      </c>
      <c r="H3" s="134" t="s">
        <v>2</v>
      </c>
    </row>
    <row r="4" spans="1:10" ht="15.75" customHeight="1" x14ac:dyDescent="0.15">
      <c r="B4" s="35" t="s">
        <v>203</v>
      </c>
      <c r="C4" s="254" t="str">
        <f>Inputs!C5</f>
        <v>朝云集团</v>
      </c>
      <c r="D4" s="255"/>
      <c r="E4" s="87"/>
      <c r="F4" s="3" t="s">
        <v>3</v>
      </c>
      <c r="G4" s="258">
        <f>Inputs!C10</f>
        <v>1333333500</v>
      </c>
      <c r="H4" s="258"/>
      <c r="I4" s="39"/>
    </row>
    <row r="5" spans="1:10" ht="15.75" customHeight="1" x14ac:dyDescent="0.15">
      <c r="B5" s="3" t="s">
        <v>168</v>
      </c>
      <c r="C5" s="256">
        <f>Inputs!C6</f>
        <v>45593</v>
      </c>
      <c r="D5" s="257"/>
      <c r="E5" s="34"/>
      <c r="F5" s="35" t="s">
        <v>100</v>
      </c>
      <c r="G5" s="250">
        <f>G3*G4/1000000</f>
        <v>2546.6669404951945</v>
      </c>
      <c r="H5" s="250"/>
      <c r="I5" s="38"/>
      <c r="J5" s="28"/>
    </row>
    <row r="6" spans="1:10" ht="15.75" customHeight="1" x14ac:dyDescent="0.15">
      <c r="B6" s="87" t="s">
        <v>4</v>
      </c>
      <c r="C6" s="189">
        <f>Inputs!C7</f>
        <v>8</v>
      </c>
      <c r="D6" s="190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51" t="str">
        <f>Inputs!C11</f>
        <v>CNY</v>
      </c>
      <c r="H6" s="251"/>
      <c r="I6" s="38"/>
    </row>
    <row r="7" spans="1:10" ht="15.75" customHeight="1" x14ac:dyDescent="0.15">
      <c r="B7" s="86" t="s">
        <v>200</v>
      </c>
      <c r="C7" s="191" t="str">
        <f>Inputs!C8</f>
        <v>Y</v>
      </c>
      <c r="D7" s="191" t="str">
        <f>Inputs!C9</f>
        <v>C0007</v>
      </c>
      <c r="E7" s="87"/>
      <c r="F7" s="35" t="s">
        <v>6</v>
      </c>
      <c r="G7" s="133">
        <v>1.08</v>
      </c>
      <c r="H7" s="71" t="str">
        <f>IF(G6=Dashboard!H3,H3,G6&amp;"/"&amp;Dashboard!H3)</f>
        <v>CNY/HKD</v>
      </c>
    </row>
    <row r="8" spans="1:10" ht="15.75" customHeight="1" x14ac:dyDescent="0.15"/>
    <row r="9" spans="1:10" ht="15.75" customHeight="1" x14ac:dyDescent="0.15">
      <c r="B9" s="139" t="s">
        <v>198</v>
      </c>
      <c r="F9" s="143" t="s">
        <v>192</v>
      </c>
    </row>
    <row r="10" spans="1:10" ht="15.75" customHeight="1" x14ac:dyDescent="0.15">
      <c r="B10" s="1" t="s">
        <v>181</v>
      </c>
      <c r="C10" s="175">
        <v>4.2099999999999999E-2</v>
      </c>
      <c r="F10" s="110" t="s">
        <v>189</v>
      </c>
    </row>
    <row r="11" spans="1:10" ht="15.75" customHeight="1" thickBot="1" x14ac:dyDescent="0.2">
      <c r="B11" s="122" t="s">
        <v>185</v>
      </c>
      <c r="C11" s="176">
        <v>5.3099999999999994E-2</v>
      </c>
      <c r="D11" s="137" t="s">
        <v>196</v>
      </c>
      <c r="F11" s="110" t="s">
        <v>183</v>
      </c>
    </row>
    <row r="12" spans="1:10" ht="15.75" customHeight="1" thickTop="1" x14ac:dyDescent="0.15">
      <c r="B12" s="87" t="s">
        <v>135</v>
      </c>
      <c r="C12" s="177">
        <v>0.06</v>
      </c>
      <c r="D12" s="175">
        <v>6.6000000000000003E-2</v>
      </c>
      <c r="F12" s="110"/>
    </row>
    <row r="13" spans="1:10" ht="15.75" customHeight="1" x14ac:dyDescent="0.15"/>
    <row r="14" spans="1:10" ht="15.75" customHeight="1" x14ac:dyDescent="0.15">
      <c r="B14" s="1" t="s">
        <v>182</v>
      </c>
      <c r="C14" s="175">
        <v>2.1309999999999999E-2</v>
      </c>
      <c r="F14" s="110" t="s">
        <v>188</v>
      </c>
    </row>
    <row r="15" spans="1:10" ht="15.75" customHeight="1" x14ac:dyDescent="0.15">
      <c r="B15" s="1" t="s">
        <v>193</v>
      </c>
      <c r="C15" s="175">
        <v>6.5000000000000002E-2</v>
      </c>
      <c r="F15" s="110" t="s">
        <v>186</v>
      </c>
    </row>
    <row r="16" spans="1:10" ht="15.75" customHeight="1" thickBot="1" x14ac:dyDescent="0.2">
      <c r="B16" s="122" t="s">
        <v>194</v>
      </c>
      <c r="C16" s="176">
        <v>0.16</v>
      </c>
      <c r="D16" s="144" t="s">
        <v>197</v>
      </c>
      <c r="F16" s="110" t="s">
        <v>184</v>
      </c>
    </row>
    <row r="17" spans="1:8" ht="15.75" customHeight="1" thickTop="1" x14ac:dyDescent="0.15">
      <c r="B17" s="87" t="s">
        <v>187</v>
      </c>
      <c r="C17" s="178">
        <v>7.1999999999999995E-2</v>
      </c>
      <c r="D17" s="179"/>
    </row>
    <row r="18" spans="1:8" ht="15.75" customHeight="1" x14ac:dyDescent="0.15"/>
    <row r="19" spans="1:8" ht="15.75" customHeight="1" x14ac:dyDescent="0.15">
      <c r="B19" s="142" t="s">
        <v>190</v>
      </c>
      <c r="C19" s="135" t="s">
        <v>52</v>
      </c>
      <c r="D19" s="87"/>
      <c r="E19" s="87"/>
      <c r="F19" s="142" t="s">
        <v>220</v>
      </c>
      <c r="G19" s="87"/>
      <c r="H19" s="87"/>
    </row>
    <row r="20" spans="1:8" ht="15.75" customHeight="1" x14ac:dyDescent="0.15">
      <c r="B20" s="137" t="s">
        <v>174</v>
      </c>
      <c r="C20" s="174">
        <f>Fin_Analysis!I75</f>
        <v>0.55541924442229906</v>
      </c>
      <c r="F20" s="87" t="s">
        <v>219</v>
      </c>
      <c r="G20" s="175">
        <v>0.15</v>
      </c>
    </row>
    <row r="21" spans="1:8" ht="15.75" customHeight="1" x14ac:dyDescent="0.15">
      <c r="B21" s="137" t="s">
        <v>258</v>
      </c>
      <c r="C21" s="174">
        <f>Fin_Analysis!I77</f>
        <v>0.37949349616392825</v>
      </c>
      <c r="F21" s="87"/>
      <c r="G21" s="29"/>
    </row>
    <row r="22" spans="1:8" ht="15.75" customHeight="1" x14ac:dyDescent="0.15">
      <c r="B22" s="137" t="s">
        <v>175</v>
      </c>
      <c r="C22" s="174">
        <f>Fin_Analysis!I79</f>
        <v>6.208277497005729E-4</v>
      </c>
      <c r="F22" s="142" t="s">
        <v>191</v>
      </c>
    </row>
    <row r="23" spans="1:8" ht="15.75" customHeight="1" x14ac:dyDescent="0.15">
      <c r="B23" s="137" t="s">
        <v>257</v>
      </c>
      <c r="C23" s="174">
        <f>Fin_Analysis!I80</f>
        <v>0</v>
      </c>
      <c r="F23" s="140" t="s">
        <v>195</v>
      </c>
      <c r="G23" s="180">
        <f>G3/(Data!C36*Data!C4/Common_Shares*Exchange_Rate)</f>
        <v>0.7789222000728564</v>
      </c>
    </row>
    <row r="24" spans="1:8" ht="15.75" customHeight="1" x14ac:dyDescent="0.15">
      <c r="B24" s="137" t="s">
        <v>176</v>
      </c>
      <c r="C24" s="174">
        <f>Fin_Analysis!I81</f>
        <v>0</v>
      </c>
      <c r="F24" s="140" t="s">
        <v>180</v>
      </c>
      <c r="G24" s="181">
        <f>(Fin_Analysis!H86*G7)/G3</f>
        <v>3.2193997847263726E-2</v>
      </c>
    </row>
    <row r="25" spans="1:8" ht="15.75" customHeight="1" x14ac:dyDescent="0.15">
      <c r="B25" s="137" t="s">
        <v>199</v>
      </c>
      <c r="C25" s="174">
        <f>Fin_Analysis!I82</f>
        <v>1.8148224946381651E-3</v>
      </c>
      <c r="F25" s="140" t="s">
        <v>179</v>
      </c>
      <c r="G25" s="174">
        <f>Fin_Analysis!I88</f>
        <v>2.0690013574526525</v>
      </c>
    </row>
    <row r="26" spans="1:8" ht="15.75" customHeight="1" x14ac:dyDescent="0.15">
      <c r="B26" s="138" t="s">
        <v>178</v>
      </c>
      <c r="C26" s="174">
        <f>Fin_Analysis!I83</f>
        <v>6.2651609169433978E-2</v>
      </c>
      <c r="F26" s="141" t="s">
        <v>201</v>
      </c>
      <c r="G26" s="181">
        <f>Fin_Analysis!H88*Exchange_Rate/G3</f>
        <v>6.660942524781642E-2</v>
      </c>
    </row>
    <row r="27" spans="1:8" ht="15.75" customHeight="1" x14ac:dyDescent="0.15"/>
    <row r="28" spans="1:8" ht="15.75" customHeight="1" x14ac:dyDescent="0.15">
      <c r="A28" s="5"/>
      <c r="B28" s="90" t="s">
        <v>7</v>
      </c>
      <c r="C28" s="89" t="s">
        <v>171</v>
      </c>
      <c r="D28" s="43" t="s">
        <v>172</v>
      </c>
      <c r="E28" s="58"/>
      <c r="F28" s="53" t="s">
        <v>249</v>
      </c>
      <c r="G28" s="248" t="s">
        <v>250</v>
      </c>
      <c r="H28" s="248"/>
    </row>
    <row r="29" spans="1:8" ht="15.75" customHeight="1" x14ac:dyDescent="0.15">
      <c r="B29" s="87" t="s">
        <v>173</v>
      </c>
      <c r="C29" s="130">
        <f>IF(Fin_Analysis!C108="Profit",Fin_Analysis!E100,IF(Fin_Analysis!C108="Dividend",Fin_Analysis!D103,Fin_Analysis!D106))</f>
        <v>1.6642247163257382</v>
      </c>
      <c r="D29" s="129">
        <f>IF(Fin_Analysis!C108="Profit",Fin_Analysis!I100,IF(Fin_Analysis!C108="Dividend",Fin_Analysis!I103,Fin_Analysis!I106))</f>
        <v>2.4473892887143212</v>
      </c>
      <c r="E29" s="87"/>
      <c r="F29" s="131">
        <f>IF(Fin_Analysis!C108="Profit",Fin_Analysis!F100,IF(Fin_Analysis!C108="Dividend",Fin_Analysis!F103,Fin_Analysis!F106))</f>
        <v>1.9579114309714567</v>
      </c>
      <c r="G29" s="249">
        <f>IF(Fin_Analysis!C108="Profit",Fin_Analysis!E100,IF(Fin_Analysis!C108="Dividend",Fin_Analysis!E103,Fin_Analysis!E106))</f>
        <v>1.897537739205668</v>
      </c>
      <c r="H29" s="249"/>
    </row>
    <row r="30" spans="1:8" ht="15.75" customHeight="1" x14ac:dyDescent="0.15"/>
    <row r="31" spans="1:8" ht="15.75" customHeight="1" x14ac:dyDescent="0.2">
      <c r="A31" s="5"/>
      <c r="B31" s="6" t="s">
        <v>232</v>
      </c>
      <c r="C31"/>
    </row>
    <row r="32" spans="1:8" ht="15.75" customHeight="1" x14ac:dyDescent="0.15">
      <c r="A32"/>
      <c r="B32" s="200" t="s">
        <v>233</v>
      </c>
      <c r="C32" s="235"/>
    </row>
    <row r="33" spans="1:3" ht="15.75" customHeight="1" x14ac:dyDescent="0.15">
      <c r="A33"/>
      <c r="B33" s="20" t="s">
        <v>234</v>
      </c>
      <c r="C33" s="236" t="s">
        <v>267</v>
      </c>
    </row>
    <row r="34" spans="1:3" ht="15.75" customHeight="1" x14ac:dyDescent="0.15">
      <c r="A34"/>
      <c r="B34" s="19" t="s">
        <v>235</v>
      </c>
      <c r="C34" s="237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15">
      <c r="A35"/>
      <c r="B35" s="200" t="s">
        <v>236</v>
      </c>
      <c r="C35" s="235"/>
    </row>
    <row r="36" spans="1:3" ht="15.75" customHeight="1" x14ac:dyDescent="0.15">
      <c r="A36"/>
      <c r="B36" s="20" t="s">
        <v>251</v>
      </c>
      <c r="C36" s="236" t="s">
        <v>268</v>
      </c>
    </row>
    <row r="37" spans="1:3" ht="15.75" customHeight="1" x14ac:dyDescent="0.15">
      <c r="A37"/>
      <c r="B37" s="20" t="s">
        <v>252</v>
      </c>
      <c r="C37" s="236" t="s">
        <v>267</v>
      </c>
    </row>
    <row r="38" spans="1:3" ht="15.75" customHeight="1" x14ac:dyDescent="0.15">
      <c r="A38"/>
      <c r="B38" s="200" t="s">
        <v>237</v>
      </c>
      <c r="C38" s="235"/>
    </row>
    <row r="39" spans="1:3" ht="15.75" customHeight="1" x14ac:dyDescent="0.15">
      <c r="A39"/>
      <c r="B39" s="19" t="s">
        <v>238</v>
      </c>
      <c r="C39" s="236" t="s">
        <v>242</v>
      </c>
    </row>
    <row r="40" spans="1:3" ht="15.75" customHeight="1" x14ac:dyDescent="0.15">
      <c r="A40"/>
      <c r="B40" s="1" t="s">
        <v>243</v>
      </c>
      <c r="C40" s="236" t="s">
        <v>241</v>
      </c>
    </row>
    <row r="41" spans="1:3" ht="15.75" customHeight="1" x14ac:dyDescent="0.15">
      <c r="A41"/>
      <c r="B41"/>
      <c r="C41"/>
    </row>
    <row r="42" spans="1:3" ht="15.75" customHeight="1" x14ac:dyDescent="0.2">
      <c r="A42" s="5"/>
      <c r="B42" s="6" t="s">
        <v>239</v>
      </c>
      <c r="C42"/>
    </row>
    <row r="43" spans="1:3" ht="70" x14ac:dyDescent="0.15">
      <c r="A43"/>
      <c r="B43" s="238" t="s">
        <v>240</v>
      </c>
      <c r="C43" s="239" t="s">
        <v>266</v>
      </c>
    </row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48" sqref="C48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50" t="s">
        <v>207</v>
      </c>
      <c r="F2" s="119" t="s">
        <v>210</v>
      </c>
      <c r="G2" s="150" t="s">
        <v>211</v>
      </c>
      <c r="H2" s="149" t="s">
        <v>212</v>
      </c>
      <c r="I2" s="7"/>
      <c r="J2" s="87"/>
      <c r="K2" s="7"/>
      <c r="L2" s="7"/>
      <c r="M2" s="7"/>
    </row>
    <row r="3" spans="1:14" ht="15.75" customHeight="1" x14ac:dyDescent="0.15">
      <c r="A3" s="4"/>
      <c r="B3" s="103" t="s">
        <v>10</v>
      </c>
      <c r="C3" s="207">
        <f>Inputs!C12</f>
        <v>45291</v>
      </c>
      <c r="E3" s="148" t="s">
        <v>208</v>
      </c>
      <c r="F3" s="85">
        <f>G14</f>
        <v>203217</v>
      </c>
      <c r="G3" s="85">
        <f>C14</f>
        <v>102222</v>
      </c>
      <c r="H3" s="85">
        <v>5</v>
      </c>
      <c r="I3" s="87"/>
      <c r="J3" s="42"/>
      <c r="K3" s="87"/>
      <c r="L3" s="87"/>
      <c r="M3" s="87"/>
    </row>
    <row r="4" spans="1:14" ht="15.75" customHeight="1" x14ac:dyDescent="0.15">
      <c r="A4" s="4"/>
      <c r="B4" s="103" t="s">
        <v>11</v>
      </c>
      <c r="C4" s="128">
        <f>Inputs!C13</f>
        <v>1000</v>
      </c>
      <c r="D4" s="1" t="str">
        <f>Dashboard!G6</f>
        <v>CNY</v>
      </c>
      <c r="E4" s="148" t="s">
        <v>209</v>
      </c>
      <c r="F4" s="93">
        <f>(G3/F3)^(1/H3)-1</f>
        <v>-0.12840071040119649</v>
      </c>
      <c r="J4" s="87"/>
    </row>
    <row r="5" spans="1:14" ht="15.75" customHeight="1" x14ac:dyDescent="0.15">
      <c r="A5" s="16"/>
      <c r="B5" s="115" t="s">
        <v>137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15">
      <c r="A6" s="4"/>
      <c r="B6" s="94" t="s">
        <v>12</v>
      </c>
      <c r="C6" s="206">
        <f>IF(Inputs!C19=""," ",Inputs!C19)</f>
        <v>1615585</v>
      </c>
      <c r="D6" s="206">
        <f>IF(Inputs!D19="","",Inputs!D19)</f>
        <v>1446638</v>
      </c>
      <c r="E6" s="206">
        <f>IF(Inputs!E19="","",Inputs!E19)</f>
        <v>1769157</v>
      </c>
      <c r="F6" s="206">
        <f>IF(Inputs!F19="","",Inputs!F19)</f>
        <v>1702154</v>
      </c>
      <c r="G6" s="206">
        <f>IF(Inputs!G19="","",Inputs!G19)</f>
        <v>1383402</v>
      </c>
      <c r="H6" s="206" t="str">
        <f>IF(Inputs!H19="","",Inputs!H19)</f>
        <v/>
      </c>
      <c r="I6" s="206" t="str">
        <f>IF(Inputs!I19="","",Inputs!I19)</f>
        <v/>
      </c>
      <c r="J6" s="206" t="str">
        <f>IF(Inputs!J19="","",Inputs!J19)</f>
        <v/>
      </c>
      <c r="K6" s="206" t="str">
        <f>IF(Inputs!K19="","",Inputs!K19)</f>
        <v/>
      </c>
      <c r="L6" s="206" t="str">
        <f>IF(Inputs!L19="","",Inputs!L19)</f>
        <v/>
      </c>
      <c r="M6" s="206" t="str">
        <f>IF(Inputs!M19="","",Inputs!M19)</f>
        <v/>
      </c>
      <c r="N6" s="87"/>
    </row>
    <row r="7" spans="1:14" ht="15.75" customHeight="1" x14ac:dyDescent="0.15">
      <c r="A7" s="4"/>
      <c r="B7" s="96" t="s">
        <v>13</v>
      </c>
      <c r="C7" s="92">
        <f t="shared" ref="C7:M7" si="1">IF(D6="","",C6/D6-1)</f>
        <v>0.11678595474472542</v>
      </c>
      <c r="D7" s="92">
        <f t="shared" si="1"/>
        <v>-0.18230094898304672</v>
      </c>
      <c r="E7" s="92">
        <f t="shared" si="1"/>
        <v>3.9363653347464389E-2</v>
      </c>
      <c r="F7" s="92">
        <f t="shared" si="1"/>
        <v>0.2304116952266948</v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15">
      <c r="A8" s="4"/>
      <c r="B8" s="97" t="s">
        <v>106</v>
      </c>
      <c r="C8" s="205">
        <f>IF(Inputs!C20="","",Inputs!C20)</f>
        <v>897327</v>
      </c>
      <c r="D8" s="205">
        <f>IF(Inputs!D20="","",Inputs!D20)</f>
        <v>845264</v>
      </c>
      <c r="E8" s="205">
        <f>IF(Inputs!E20="","",Inputs!E20)</f>
        <v>981731</v>
      </c>
      <c r="F8" s="205">
        <f>IF(Inputs!F20="","",Inputs!F20)</f>
        <v>959572</v>
      </c>
      <c r="G8" s="205">
        <f>IF(Inputs!G20="","",Inputs!G20)</f>
        <v>783542</v>
      </c>
      <c r="H8" s="205" t="str">
        <f>IF(Inputs!H20="","",Inputs!H20)</f>
        <v/>
      </c>
      <c r="I8" s="205" t="str">
        <f>IF(Inputs!I20="","",Inputs!I20)</f>
        <v/>
      </c>
      <c r="J8" s="205" t="str">
        <f>IF(Inputs!J20="","",Inputs!J20)</f>
        <v/>
      </c>
      <c r="K8" s="205" t="str">
        <f>IF(Inputs!K20="","",Inputs!K20)</f>
        <v/>
      </c>
      <c r="L8" s="205" t="str">
        <f>IF(Inputs!L20="","",Inputs!L20)</f>
        <v/>
      </c>
      <c r="M8" s="205" t="str">
        <f>IF(Inputs!M20="","",Inputs!M20)</f>
        <v/>
      </c>
      <c r="N8" s="87"/>
    </row>
    <row r="9" spans="1:14" ht="15.75" customHeight="1" x14ac:dyDescent="0.15">
      <c r="A9" s="4"/>
      <c r="B9" s="98" t="s">
        <v>103</v>
      </c>
      <c r="C9" s="153">
        <f t="shared" ref="C9:M9" si="2">IF(C6="","",(C6-C8))</f>
        <v>718258</v>
      </c>
      <c r="D9" s="153">
        <f t="shared" si="2"/>
        <v>601374</v>
      </c>
      <c r="E9" s="153">
        <f t="shared" si="2"/>
        <v>787426</v>
      </c>
      <c r="F9" s="153">
        <f t="shared" si="2"/>
        <v>742582</v>
      </c>
      <c r="G9" s="153">
        <f t="shared" si="2"/>
        <v>599860</v>
      </c>
      <c r="H9" s="153" t="str">
        <f t="shared" si="2"/>
        <v/>
      </c>
      <c r="I9" s="153" t="str">
        <f t="shared" si="2"/>
        <v/>
      </c>
      <c r="J9" s="153" t="str">
        <f t="shared" si="2"/>
        <v/>
      </c>
      <c r="K9" s="153" t="str">
        <f t="shared" si="2"/>
        <v/>
      </c>
      <c r="L9" s="153" t="str">
        <f t="shared" si="2"/>
        <v/>
      </c>
      <c r="M9" s="153" t="str">
        <f t="shared" si="2"/>
        <v/>
      </c>
      <c r="N9" s="87"/>
    </row>
    <row r="10" spans="1:14" ht="15.75" customHeight="1" x14ac:dyDescent="0.15">
      <c r="A10" s="4"/>
      <c r="B10" s="97" t="s">
        <v>104</v>
      </c>
      <c r="C10" s="205">
        <f>IF(Inputs!C21="","",Inputs!C21)</f>
        <v>613104</v>
      </c>
      <c r="D10" s="205">
        <f>IF(Inputs!D21="","",Inputs!D21)</f>
        <v>599182</v>
      </c>
      <c r="E10" s="205">
        <f>IF(Inputs!E21="","",Inputs!E21)</f>
        <v>705390</v>
      </c>
      <c r="F10" s="205">
        <f>IF(Inputs!F21="","",Inputs!F21)</f>
        <v>456610</v>
      </c>
      <c r="G10" s="205">
        <f>IF(Inputs!G21="","",Inputs!G21)</f>
        <v>396643</v>
      </c>
      <c r="H10" s="205" t="str">
        <f>IF(Inputs!H21="","",Inputs!H21)</f>
        <v/>
      </c>
      <c r="I10" s="205" t="str">
        <f>IF(Inputs!I21="","",Inputs!I21)</f>
        <v/>
      </c>
      <c r="J10" s="205" t="str">
        <f>IF(Inputs!J21="","",Inputs!J21)</f>
        <v/>
      </c>
      <c r="K10" s="205" t="str">
        <f>IF(Inputs!K21="","",Inputs!K21)</f>
        <v/>
      </c>
      <c r="L10" s="205" t="str">
        <f>IF(Inputs!L21="","",Inputs!L21)</f>
        <v/>
      </c>
      <c r="M10" s="205" t="str">
        <f>IF(Inputs!M21="","",Inputs!M21)</f>
        <v/>
      </c>
      <c r="N10" s="87"/>
    </row>
    <row r="11" spans="1:14" ht="15.75" customHeight="1" x14ac:dyDescent="0.15">
      <c r="A11" s="4"/>
      <c r="B11" s="97" t="s">
        <v>107</v>
      </c>
      <c r="C11" s="205" t="str">
        <f>IF(Inputs!C22="","",Inputs!C22)</f>
        <v/>
      </c>
      <c r="D11" s="205" t="str">
        <f>IF(Inputs!D22="","",Inputs!D22)</f>
        <v/>
      </c>
      <c r="E11" s="205" t="str">
        <f>IF(Inputs!E22="","",Inputs!E22)</f>
        <v/>
      </c>
      <c r="F11" s="205" t="str">
        <f>IF(Inputs!F22="","",Inputs!F22)</f>
        <v/>
      </c>
      <c r="G11" s="205" t="str">
        <f>IF(Inputs!G22="","",Inputs!G22)</f>
        <v/>
      </c>
      <c r="H11" s="205" t="str">
        <f>IF(Inputs!H22="","",Inputs!H22)</f>
        <v/>
      </c>
      <c r="I11" s="205" t="str">
        <f>IF(Inputs!I22="","",Inputs!I22)</f>
        <v/>
      </c>
      <c r="J11" s="205" t="str">
        <f>IF(Inputs!J22="","",Inputs!J22)</f>
        <v/>
      </c>
      <c r="K11" s="205" t="str">
        <f>IF(Inputs!K22="","",Inputs!K22)</f>
        <v/>
      </c>
      <c r="L11" s="205" t="str">
        <f>IF(Inputs!L22="","",Inputs!L22)</f>
        <v/>
      </c>
      <c r="M11" s="205" t="str">
        <f>IF(Inputs!M22="","",Inputs!M22)</f>
        <v/>
      </c>
      <c r="N11" s="87"/>
    </row>
    <row r="12" spans="1:14" ht="15.75" customHeight="1" x14ac:dyDescent="0.15">
      <c r="A12" s="4"/>
      <c r="B12" s="99" t="s">
        <v>253</v>
      </c>
      <c r="C12" s="205">
        <f>IF(Inputs!C24="","",MAX(Inputs!C24,0)/(1-Fin_Analysis!$I$84))</f>
        <v>2932</v>
      </c>
      <c r="D12" s="205">
        <f>IF(Inputs!D24="","",MAX(Inputs!D24,0)/(1-Fin_Analysis!$I$84))</f>
        <v>860</v>
      </c>
      <c r="E12" s="205" t="str">
        <f>IF(Inputs!E24="","",MAX(Inputs!E24,0)/(1-Fin_Analysis!$I$84))</f>
        <v/>
      </c>
      <c r="F12" s="205" t="str">
        <f>IF(Inputs!F24="","",MAX(Inputs!F24,0)/(1-Fin_Analysis!$I$84))</f>
        <v/>
      </c>
      <c r="G12" s="205" t="str">
        <f>IF(Inputs!G24="","",MAX(Inputs!G24,0)/(1-Fin_Analysis!$I$84))</f>
        <v/>
      </c>
      <c r="H12" s="205" t="str">
        <f>IF(Inputs!H24="","",MAX(Inputs!H24,0)/(1-Fin_Analysis!$I$84))</f>
        <v/>
      </c>
      <c r="I12" s="205" t="str">
        <f>IF(Inputs!I24="","",MAX(Inputs!I24,0)/(1-Fin_Analysis!$I$84))</f>
        <v/>
      </c>
      <c r="J12" s="205" t="str">
        <f>IF(Inputs!J24="","",MAX(Inputs!J24,0)/(1-Fin_Analysis!$I$84))</f>
        <v/>
      </c>
      <c r="K12" s="205" t="str">
        <f>IF(Inputs!K24="","",MAX(Inputs!K24,0)/(1-Fin_Analysis!$I$84))</f>
        <v/>
      </c>
      <c r="L12" s="205" t="str">
        <f>IF(Inputs!L24="","",MAX(Inputs!L24,0)/(1-Fin_Analysis!$I$84))</f>
        <v/>
      </c>
      <c r="M12" s="205" t="str">
        <f>IF(Inputs!M24="","",MAX(Inputs!M24,0)/(1-Fin_Analysis!$I$84))</f>
        <v/>
      </c>
      <c r="N12" s="87"/>
    </row>
    <row r="13" spans="1:14" ht="15.75" customHeight="1" x14ac:dyDescent="0.15">
      <c r="A13" s="4"/>
      <c r="B13" s="241" t="s">
        <v>254</v>
      </c>
      <c r="C13" s="242">
        <f t="shared" ref="C13:M13" si="3">IF(C14="","",C14/C6)</f>
        <v>6.3272436919134561E-2</v>
      </c>
      <c r="D13" s="242">
        <f t="shared" si="3"/>
        <v>9.2075557257586215E-4</v>
      </c>
      <c r="E13" s="242">
        <f t="shared" si="3"/>
        <v>4.6370107344910601E-2</v>
      </c>
      <c r="F13" s="242">
        <f t="shared" si="3"/>
        <v>0.16800595010792208</v>
      </c>
      <c r="G13" s="242">
        <f t="shared" si="3"/>
        <v>0.14689656368864581</v>
      </c>
      <c r="H13" s="242" t="str">
        <f t="shared" si="3"/>
        <v/>
      </c>
      <c r="I13" s="242" t="str">
        <f t="shared" si="3"/>
        <v/>
      </c>
      <c r="J13" s="242" t="str">
        <f t="shared" si="3"/>
        <v/>
      </c>
      <c r="K13" s="242" t="str">
        <f t="shared" si="3"/>
        <v/>
      </c>
      <c r="L13" s="242" t="str">
        <f t="shared" si="3"/>
        <v/>
      </c>
      <c r="M13" s="242" t="str">
        <f t="shared" si="3"/>
        <v/>
      </c>
      <c r="N13" s="87"/>
    </row>
    <row r="14" spans="1:14" ht="15.75" customHeight="1" x14ac:dyDescent="0.15">
      <c r="A14" s="4"/>
      <c r="B14" s="241" t="s">
        <v>245</v>
      </c>
      <c r="C14" s="243">
        <f>IF(C6="","",C9-C10-MAX(C11,0)-MAX(C12,0))</f>
        <v>102222</v>
      </c>
      <c r="D14" s="243">
        <f t="shared" ref="D14:M14" si="4">IF(D6="","",D9-D10-MAX(D11,0)-MAX(D12,0))</f>
        <v>1332</v>
      </c>
      <c r="E14" s="243">
        <f t="shared" si="4"/>
        <v>82036</v>
      </c>
      <c r="F14" s="243">
        <f t="shared" si="4"/>
        <v>285972</v>
      </c>
      <c r="G14" s="243">
        <f t="shared" si="4"/>
        <v>203217</v>
      </c>
      <c r="H14" s="243" t="str">
        <f t="shared" si="4"/>
        <v/>
      </c>
      <c r="I14" s="243" t="str">
        <f t="shared" si="4"/>
        <v/>
      </c>
      <c r="J14" s="243" t="str">
        <f t="shared" si="4"/>
        <v/>
      </c>
      <c r="K14" s="243" t="str">
        <f t="shared" si="4"/>
        <v/>
      </c>
      <c r="L14" s="243" t="str">
        <f t="shared" si="4"/>
        <v/>
      </c>
      <c r="M14" s="243" t="str">
        <f t="shared" si="4"/>
        <v/>
      </c>
      <c r="N14" s="87"/>
    </row>
    <row r="15" spans="1:14" ht="15.75" customHeight="1" x14ac:dyDescent="0.15">
      <c r="A15" s="4"/>
      <c r="B15" s="244" t="s">
        <v>255</v>
      </c>
      <c r="C15" s="245">
        <f>IF(D14="","",IF(ABS(C14+D14)=ABS(C14)+ABS(D14),IF(C14&lt;0,-1,1)*(C14-D14)/D14,"Turn"))</f>
        <v>75.743243243243242</v>
      </c>
      <c r="D15" s="245">
        <f t="shared" ref="D15:M15" si="5">IF(E14="","",IF(ABS(D14+E14)=ABS(D14)+ABS(E14),IF(D14&lt;0,-1,1)*(D14-E14)/E14,"Turn"))</f>
        <v>-0.98376322590082399</v>
      </c>
      <c r="E15" s="245">
        <f t="shared" si="5"/>
        <v>-0.71313275425566136</v>
      </c>
      <c r="F15" s="245">
        <f t="shared" si="5"/>
        <v>0.40722478926467764</v>
      </c>
      <c r="G15" s="245" t="str">
        <f t="shared" si="5"/>
        <v/>
      </c>
      <c r="H15" s="245" t="str">
        <f t="shared" si="5"/>
        <v/>
      </c>
      <c r="I15" s="245" t="str">
        <f t="shared" si="5"/>
        <v/>
      </c>
      <c r="J15" s="245" t="str">
        <f t="shared" si="5"/>
        <v/>
      </c>
      <c r="K15" s="245" t="str">
        <f t="shared" si="5"/>
        <v/>
      </c>
      <c r="L15" s="245" t="str">
        <f t="shared" si="5"/>
        <v/>
      </c>
      <c r="M15" s="245" t="str">
        <f t="shared" si="5"/>
        <v/>
      </c>
      <c r="N15" s="87"/>
    </row>
    <row r="16" spans="1:14" ht="15.75" customHeight="1" x14ac:dyDescent="0.15">
      <c r="A16" s="4"/>
      <c r="B16" s="97" t="s">
        <v>110</v>
      </c>
      <c r="C16" s="205">
        <f>IF(Inputs!C25="","",Inputs!C25)</f>
        <v>-169280</v>
      </c>
      <c r="D16" s="205">
        <f>IF(Inputs!D25="","",Inputs!D25)</f>
        <v>-50846</v>
      </c>
      <c r="E16" s="205" t="str">
        <f>IF(Inputs!E25="","",Inputs!E25)</f>
        <v/>
      </c>
      <c r="F16" s="205" t="str">
        <f>IF(Inputs!F25="","",Inputs!F25)</f>
        <v/>
      </c>
      <c r="G16" s="205" t="str">
        <f>IF(Inputs!G25="","",Inputs!G25)</f>
        <v/>
      </c>
      <c r="H16" s="205" t="str">
        <f>IF(Inputs!H25="","",Inputs!H25)</f>
        <v/>
      </c>
      <c r="I16" s="205" t="str">
        <f>IF(Inputs!I25="","",Inputs!I25)</f>
        <v/>
      </c>
      <c r="J16" s="205" t="str">
        <f>IF(Inputs!J25="","",Inputs!J25)</f>
        <v/>
      </c>
      <c r="K16" s="205" t="str">
        <f>IF(Inputs!K25="","",Inputs!K25)</f>
        <v/>
      </c>
      <c r="L16" s="205" t="str">
        <f>IF(Inputs!L25="","",Inputs!L25)</f>
        <v/>
      </c>
      <c r="M16" s="205" t="str">
        <f>IF(Inputs!M25="","",Inputs!M25)</f>
        <v/>
      </c>
      <c r="N16" s="87"/>
    </row>
    <row r="17" spans="1:14" ht="15.75" customHeight="1" x14ac:dyDescent="0.15">
      <c r="A17" s="4"/>
      <c r="B17" s="97" t="s">
        <v>124</v>
      </c>
      <c r="C17" s="205">
        <f>IF(Inputs!C23="","",Inputs!C23)</f>
        <v>1003</v>
      </c>
      <c r="D17" s="205">
        <f>IF(Inputs!D23="","",Inputs!D23)</f>
        <v>863</v>
      </c>
      <c r="E17" s="205">
        <f>IF(Inputs!E23="","",Inputs!E23)</f>
        <v>1613</v>
      </c>
      <c r="F17" s="205">
        <f>IF(Inputs!F23="","",Inputs!F23)</f>
        <v>2645</v>
      </c>
      <c r="G17" s="205">
        <f>IF(Inputs!G23="","",Inputs!G23)</f>
        <v>299</v>
      </c>
      <c r="H17" s="205" t="str">
        <f>IF(Inputs!H23="","",Inputs!H23)</f>
        <v/>
      </c>
      <c r="I17" s="205" t="str">
        <f>IF(Inputs!I23="","",Inputs!I23)</f>
        <v/>
      </c>
      <c r="J17" s="205" t="str">
        <f>IF(Inputs!J23="","",Inputs!J23)</f>
        <v/>
      </c>
      <c r="K17" s="205" t="str">
        <f>IF(Inputs!K23="","",Inputs!K23)</f>
        <v/>
      </c>
      <c r="L17" s="205" t="str">
        <f>IF(Inputs!L23="","",Inputs!L23)</f>
        <v/>
      </c>
      <c r="M17" s="205" t="str">
        <f>IF(Inputs!M23="","",Inputs!M23)</f>
        <v/>
      </c>
      <c r="N17" s="87"/>
    </row>
    <row r="18" spans="1:14" ht="15.75" customHeight="1" x14ac:dyDescent="0.15">
      <c r="A18" s="4"/>
      <c r="B18" s="94" t="s">
        <v>99</v>
      </c>
      <c r="C18" s="154">
        <f t="shared" ref="C18:M18" si="6">IF(OR(C6="",C19=""),"",C19/C6)</f>
        <v>2.2266856897037297E-2</v>
      </c>
      <c r="D18" s="154">
        <f t="shared" si="6"/>
        <v>2.2193527337177648E-2</v>
      </c>
      <c r="E18" s="154" t="str">
        <f t="shared" si="6"/>
        <v/>
      </c>
      <c r="F18" s="154" t="str">
        <f t="shared" si="6"/>
        <v/>
      </c>
      <c r="G18" s="154" t="str">
        <f t="shared" si="6"/>
        <v/>
      </c>
      <c r="H18" s="154" t="str">
        <f t="shared" si="6"/>
        <v/>
      </c>
      <c r="I18" s="154" t="str">
        <f t="shared" si="6"/>
        <v/>
      </c>
      <c r="J18" s="154" t="str">
        <f t="shared" si="6"/>
        <v/>
      </c>
      <c r="K18" s="154" t="str">
        <f t="shared" si="6"/>
        <v/>
      </c>
      <c r="L18" s="154" t="str">
        <f t="shared" si="6"/>
        <v/>
      </c>
      <c r="M18" s="154" t="str">
        <f t="shared" si="6"/>
        <v/>
      </c>
      <c r="N18" s="87"/>
    </row>
    <row r="19" spans="1:14" ht="15.75" customHeight="1" x14ac:dyDescent="0.15">
      <c r="A19" s="4"/>
      <c r="B19" s="97" t="s">
        <v>105</v>
      </c>
      <c r="C19" s="205">
        <f>IF(Inputs!C26="","",Inputs!C26)</f>
        <v>35974</v>
      </c>
      <c r="D19" s="205">
        <f>IF(Inputs!D26="","",Inputs!D26)</f>
        <v>32106</v>
      </c>
      <c r="E19" s="205" t="str">
        <f>IF(Inputs!E26="","",Inputs!E26)</f>
        <v/>
      </c>
      <c r="F19" s="205" t="str">
        <f>IF(Inputs!F26="","",Inputs!F26)</f>
        <v/>
      </c>
      <c r="G19" s="205" t="str">
        <f>IF(Inputs!G26="","",Inputs!G26)</f>
        <v/>
      </c>
      <c r="H19" s="205" t="str">
        <f>IF(Inputs!H26="","",Inputs!H26)</f>
        <v/>
      </c>
      <c r="I19" s="205" t="str">
        <f>IF(Inputs!I26="","",Inputs!I26)</f>
        <v/>
      </c>
      <c r="J19" s="205" t="str">
        <f>IF(Inputs!J26="","",Inputs!J26)</f>
        <v/>
      </c>
      <c r="K19" s="205" t="str">
        <f>IF(Inputs!K26="","",Inputs!K26)</f>
        <v/>
      </c>
      <c r="L19" s="205" t="str">
        <f>IF(Inputs!L26="","",Inputs!L26)</f>
        <v/>
      </c>
      <c r="M19" s="205" t="str">
        <f>IF(Inputs!M26="","",Inputs!M26)</f>
        <v/>
      </c>
      <c r="N19" s="87"/>
    </row>
    <row r="20" spans="1:14" ht="15.75" customHeight="1" x14ac:dyDescent="0.15">
      <c r="A20" s="4"/>
      <c r="B20" s="97" t="s">
        <v>247</v>
      </c>
      <c r="C20" s="154">
        <f t="shared" ref="C20:M20" si="7">IF(C6="","",MAX(C21,0)/C6)</f>
        <v>9.4776814590380575E-3</v>
      </c>
      <c r="D20" s="154">
        <f t="shared" si="7"/>
        <v>8.0185920734834829E-3</v>
      </c>
      <c r="E20" s="154">
        <f t="shared" si="7"/>
        <v>0</v>
      </c>
      <c r="F20" s="154">
        <f t="shared" si="7"/>
        <v>0</v>
      </c>
      <c r="G20" s="154">
        <f t="shared" si="7"/>
        <v>0</v>
      </c>
      <c r="H20" s="154" t="str">
        <f t="shared" si="7"/>
        <v/>
      </c>
      <c r="I20" s="154" t="str">
        <f t="shared" si="7"/>
        <v/>
      </c>
      <c r="J20" s="154" t="str">
        <f t="shared" si="7"/>
        <v/>
      </c>
      <c r="K20" s="154" t="str">
        <f t="shared" si="7"/>
        <v/>
      </c>
      <c r="L20" s="154" t="str">
        <f t="shared" si="7"/>
        <v/>
      </c>
      <c r="M20" s="154" t="str">
        <f t="shared" si="7"/>
        <v/>
      </c>
      <c r="N20" s="87"/>
    </row>
    <row r="21" spans="1:14" ht="15.75" customHeight="1" x14ac:dyDescent="0.15">
      <c r="A21" s="4"/>
      <c r="B21" s="97" t="s">
        <v>108</v>
      </c>
      <c r="C21" s="205">
        <f>IF(Inputs!C27="","",Inputs!C27)</f>
        <v>15312</v>
      </c>
      <c r="D21" s="205">
        <f>IF(Inputs!D27="","",Inputs!D27)</f>
        <v>11600</v>
      </c>
      <c r="E21" s="205" t="str">
        <f>IF(Inputs!E27="","",Inputs!E27)</f>
        <v/>
      </c>
      <c r="F21" s="205" t="str">
        <f>IF(Inputs!F27="","",Inputs!F27)</f>
        <v/>
      </c>
      <c r="G21" s="205" t="str">
        <f>IF(Inputs!G27="","",Inputs!G27)</f>
        <v/>
      </c>
      <c r="H21" s="205" t="str">
        <f>IF(Inputs!H27="","",Inputs!H27)</f>
        <v/>
      </c>
      <c r="I21" s="205" t="str">
        <f>IF(Inputs!I27="","",Inputs!I27)</f>
        <v/>
      </c>
      <c r="J21" s="205" t="str">
        <f>IF(Inputs!J27="","",Inputs!J27)</f>
        <v/>
      </c>
      <c r="K21" s="205" t="str">
        <f>IF(Inputs!K27="","",Inputs!K27)</f>
        <v/>
      </c>
      <c r="L21" s="205" t="str">
        <f>IF(Inputs!L27="","",Inputs!L27)</f>
        <v/>
      </c>
      <c r="M21" s="205" t="str">
        <f>IF(Inputs!M27="","",Inputs!M27)</f>
        <v/>
      </c>
      <c r="N21" s="87"/>
    </row>
    <row r="22" spans="1:14" ht="15.75" customHeight="1" x14ac:dyDescent="0.15">
      <c r="A22" s="4"/>
      <c r="B22" s="98" t="s">
        <v>112</v>
      </c>
      <c r="C22" s="163">
        <f>IF(C6="","",C14-MAX(C16,0)-MAX(C17,0)-ABS(MAX(C21,0)-MAX(C19,0)))</f>
        <v>80557</v>
      </c>
      <c r="D22" s="163">
        <f t="shared" ref="D22:M22" si="8">IF(D6="","",D14-MAX(D16,0)-MAX(D17,0)-ABS(MAX(D21,0)-MAX(D19,0)))</f>
        <v>-20037</v>
      </c>
      <c r="E22" s="163">
        <f t="shared" si="8"/>
        <v>80423</v>
      </c>
      <c r="F22" s="163">
        <f t="shared" si="8"/>
        <v>283327</v>
      </c>
      <c r="G22" s="163">
        <f t="shared" si="8"/>
        <v>202918</v>
      </c>
      <c r="H22" s="163" t="str">
        <f t="shared" si="8"/>
        <v/>
      </c>
      <c r="I22" s="163" t="str">
        <f t="shared" si="8"/>
        <v/>
      </c>
      <c r="J22" s="163" t="str">
        <f t="shared" si="8"/>
        <v/>
      </c>
      <c r="K22" s="163" t="str">
        <f t="shared" si="8"/>
        <v/>
      </c>
      <c r="L22" s="163" t="str">
        <f t="shared" si="8"/>
        <v/>
      </c>
      <c r="M22" s="163" t="str">
        <f t="shared" si="8"/>
        <v/>
      </c>
      <c r="N22" s="87"/>
    </row>
    <row r="23" spans="1:14" ht="15.75" customHeight="1" x14ac:dyDescent="0.15">
      <c r="A23" s="4"/>
      <c r="B23" s="100" t="s">
        <v>113</v>
      </c>
      <c r="C23" s="155">
        <f t="shared" ref="C23:M23" si="9">IF(C6="","",C24/C6)</f>
        <v>3.7396825298576054E-2</v>
      </c>
      <c r="D23" s="155">
        <f t="shared" si="9"/>
        <v>-1.0388051468300985E-2</v>
      </c>
      <c r="E23" s="155">
        <f t="shared" si="9"/>
        <v>3.4093780258055109E-2</v>
      </c>
      <c r="F23" s="155">
        <f t="shared" si="9"/>
        <v>0.12483902749104958</v>
      </c>
      <c r="G23" s="155">
        <f t="shared" si="9"/>
        <v>0.11001032237917828</v>
      </c>
      <c r="H23" s="155" t="str">
        <f t="shared" si="9"/>
        <v/>
      </c>
      <c r="I23" s="155" t="str">
        <f t="shared" si="9"/>
        <v/>
      </c>
      <c r="J23" s="155" t="str">
        <f t="shared" si="9"/>
        <v/>
      </c>
      <c r="K23" s="155" t="str">
        <f t="shared" si="9"/>
        <v/>
      </c>
      <c r="L23" s="155" t="str">
        <f t="shared" si="9"/>
        <v/>
      </c>
      <c r="M23" s="155" t="str">
        <f t="shared" si="9"/>
        <v/>
      </c>
      <c r="N23" s="87"/>
    </row>
    <row r="24" spans="1:14" ht="15.75" customHeight="1" x14ac:dyDescent="0.15">
      <c r="A24" s="4"/>
      <c r="B24" s="101" t="s">
        <v>114</v>
      </c>
      <c r="C24" s="156">
        <f>IF(C6="","",C22*(1-Fin_Analysis!$I$84))</f>
        <v>60417.75</v>
      </c>
      <c r="D24" s="77">
        <f>IF(D6="","",D22*(1-Fin_Analysis!$I$84))</f>
        <v>-15027.75</v>
      </c>
      <c r="E24" s="77">
        <f>IF(E6="","",E22*(1-Fin_Analysis!$I$84))</f>
        <v>60317.25</v>
      </c>
      <c r="F24" s="77">
        <f>IF(F6="","",F22*(1-Fin_Analysis!$I$84))</f>
        <v>212495.25</v>
      </c>
      <c r="G24" s="77">
        <f>IF(G6="","",G22*(1-Fin_Analysis!$I$84))</f>
        <v>152188.5</v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2">
      <c r="A25" s="4"/>
      <c r="B25" s="247" t="s">
        <v>131</v>
      </c>
      <c r="C25" s="246" t="str">
        <f>IF(D24="","",IF(ABS(C24+D24)=ABS(C24)+ABS(D24),IF(C24&lt;0,-1,1)*(C24-D24)/D24,"Turn"))</f>
        <v>Turn</v>
      </c>
      <c r="D25" s="246" t="str">
        <f t="shared" ref="D25:M25" si="10">IF(E24="","",IF(ABS(D24+E24)=ABS(D24)+ABS(E24),IF(D24&lt;0,-1,1)*(D24-E24)/E24,"Turn"))</f>
        <v>Turn</v>
      </c>
      <c r="E25" s="246">
        <f t="shared" si="10"/>
        <v>-0.71614777271491947</v>
      </c>
      <c r="F25" s="246">
        <f t="shared" si="10"/>
        <v>0.3962635153116037</v>
      </c>
      <c r="G25" s="246" t="str">
        <f t="shared" si="10"/>
        <v/>
      </c>
      <c r="H25" s="246" t="str">
        <f t="shared" si="10"/>
        <v/>
      </c>
      <c r="I25" s="246" t="str">
        <f t="shared" si="10"/>
        <v/>
      </c>
      <c r="J25" s="246" t="str">
        <f t="shared" si="10"/>
        <v/>
      </c>
      <c r="K25" s="246" t="str">
        <f t="shared" si="10"/>
        <v/>
      </c>
      <c r="L25" s="246" t="str">
        <f t="shared" si="10"/>
        <v/>
      </c>
      <c r="M25" s="246" t="str">
        <f t="shared" si="10"/>
        <v/>
      </c>
      <c r="N25" s="87"/>
    </row>
    <row r="26" spans="1:14" ht="15.75" customHeight="1" thickTop="1" x14ac:dyDescent="0.15">
      <c r="A26" s="16"/>
      <c r="B26" s="114" t="s">
        <v>138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15">
      <c r="A27" s="4"/>
      <c r="B27" s="94" t="s">
        <v>14</v>
      </c>
      <c r="C27" s="65">
        <f>IF(C36="","",C36+C31+C32)</f>
        <v>3670169</v>
      </c>
      <c r="D27" s="65">
        <f t="shared" ref="D27:M27" si="20">IF(D36="","",D36+D31+D32)</f>
        <v>3578159</v>
      </c>
      <c r="E27" s="65">
        <f t="shared" si="20"/>
        <v>3474535</v>
      </c>
      <c r="F27" s="65">
        <f t="shared" si="20"/>
        <v>1654558</v>
      </c>
      <c r="G27" s="65">
        <f t="shared" si="20"/>
        <v>1242193</v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15">
      <c r="A28" s="4"/>
      <c r="B28" s="94" t="s">
        <v>15</v>
      </c>
      <c r="C28" s="65">
        <f>Fin_Analysis!C28</f>
        <v>2983374</v>
      </c>
      <c r="D28" s="205" t="str">
        <f>IF(Inputs!D28="","",Inputs!D28)</f>
        <v/>
      </c>
      <c r="E28" s="205" t="str">
        <f>IF(Inputs!E28="","",Inputs!E28)</f>
        <v/>
      </c>
      <c r="F28" s="205" t="str">
        <f>IF(Inputs!F28="","",Inputs!F28)</f>
        <v/>
      </c>
      <c r="G28" s="205" t="str">
        <f>IF(Inputs!G28="","",Inputs!G28)</f>
        <v/>
      </c>
      <c r="H28" s="205" t="str">
        <f>IF(Inputs!H28="","",Inputs!H28)</f>
        <v/>
      </c>
      <c r="I28" s="205" t="str">
        <f>IF(Inputs!I28="","",Inputs!I28)</f>
        <v/>
      </c>
      <c r="J28" s="205" t="str">
        <f>IF(Inputs!J28="","",Inputs!J28)</f>
        <v/>
      </c>
      <c r="K28" s="205" t="str">
        <f>IF(Inputs!K28="","",Inputs!K28)</f>
        <v/>
      </c>
      <c r="L28" s="205" t="str">
        <f>IF(Inputs!L28="","",Inputs!L28)</f>
        <v/>
      </c>
      <c r="M28" s="205" t="str">
        <f>IF(Inputs!M28="","",Inputs!M28)</f>
        <v/>
      </c>
      <c r="N28" s="87"/>
    </row>
    <row r="29" spans="1:14" ht="15.75" customHeight="1" x14ac:dyDescent="0.15">
      <c r="A29" s="4"/>
      <c r="B29" s="94" t="s">
        <v>117</v>
      </c>
      <c r="C29" s="65">
        <f>Fin_Analysis!C13</f>
        <v>180994</v>
      </c>
      <c r="D29" s="205" t="str">
        <f>IF(Inputs!D29="","",Inputs!D29)</f>
        <v/>
      </c>
      <c r="E29" s="205" t="str">
        <f>IF(Inputs!E29="","",Inputs!E29)</f>
        <v/>
      </c>
      <c r="F29" s="205" t="str">
        <f>IF(Inputs!F29="","",Inputs!F29)</f>
        <v/>
      </c>
      <c r="G29" s="205" t="str">
        <f>IF(Inputs!G29="","",Inputs!G29)</f>
        <v/>
      </c>
      <c r="H29" s="205" t="str">
        <f>IF(Inputs!H29="","",Inputs!H29)</f>
        <v/>
      </c>
      <c r="I29" s="205" t="str">
        <f>IF(Inputs!I29="","",Inputs!I29)</f>
        <v/>
      </c>
      <c r="J29" s="205" t="str">
        <f>IF(Inputs!J29="","",Inputs!J29)</f>
        <v/>
      </c>
      <c r="K29" s="205" t="str">
        <f>IF(Inputs!K29="","",Inputs!K29)</f>
        <v/>
      </c>
      <c r="L29" s="205" t="str">
        <f>IF(Inputs!L29="","",Inputs!L29)</f>
        <v/>
      </c>
      <c r="M29" s="205" t="str">
        <f>IF(Inputs!M29="","",Inputs!M29)</f>
        <v/>
      </c>
      <c r="N29" s="87"/>
    </row>
    <row r="30" spans="1:14" ht="15.75" customHeight="1" x14ac:dyDescent="0.15">
      <c r="A30" s="4"/>
      <c r="B30" s="94" t="s">
        <v>152</v>
      </c>
      <c r="C30" s="65">
        <f>Fin_Analysis!C18</f>
        <v>158110</v>
      </c>
      <c r="D30" s="205" t="str">
        <f>IF(Inputs!D30="","",Inputs!D30)</f>
        <v/>
      </c>
      <c r="E30" s="205" t="str">
        <f>IF(Inputs!E30="","",Inputs!E30)</f>
        <v/>
      </c>
      <c r="F30" s="205" t="str">
        <f>IF(Inputs!F30="","",Inputs!F30)</f>
        <v/>
      </c>
      <c r="G30" s="205" t="str">
        <f>IF(Inputs!G30="","",Inputs!G30)</f>
        <v/>
      </c>
      <c r="H30" s="205" t="str">
        <f>IF(Inputs!H30="","",Inputs!H30)</f>
        <v/>
      </c>
      <c r="I30" s="205" t="str">
        <f>IF(Inputs!I30="","",Inputs!I30)</f>
        <v/>
      </c>
      <c r="J30" s="205" t="str">
        <f>IF(Inputs!J30="","",Inputs!J30)</f>
        <v/>
      </c>
      <c r="K30" s="205" t="str">
        <f>IF(Inputs!K30="","",Inputs!K30)</f>
        <v/>
      </c>
      <c r="L30" s="205" t="str">
        <f>IF(Inputs!L30="","",Inputs!L30)</f>
        <v/>
      </c>
      <c r="M30" s="205" t="str">
        <f>IF(Inputs!M30="","",Inputs!M30)</f>
        <v/>
      </c>
      <c r="N30" s="87"/>
    </row>
    <row r="31" spans="1:14" ht="15.75" customHeight="1" x14ac:dyDescent="0.15">
      <c r="A31" s="4"/>
      <c r="B31" s="94" t="s">
        <v>16</v>
      </c>
      <c r="C31" s="65">
        <f>Fin_Analysis!I28</f>
        <v>611931</v>
      </c>
      <c r="D31" s="205">
        <f>IF(Inputs!D31="","",Inputs!D31)</f>
        <v>734909</v>
      </c>
      <c r="E31" s="205">
        <f>IF(Inputs!E31="","",Inputs!E31)</f>
        <v>677999</v>
      </c>
      <c r="F31" s="205">
        <f>IF(Inputs!F31="","",Inputs!F31)</f>
        <v>1352795</v>
      </c>
      <c r="G31" s="205">
        <f>IF(Inputs!G31="","",Inputs!G31)</f>
        <v>1205068</v>
      </c>
      <c r="H31" s="205" t="str">
        <f>IF(Inputs!H31="","",Inputs!H31)</f>
        <v/>
      </c>
      <c r="I31" s="205" t="str">
        <f>IF(Inputs!I31="","",Inputs!I31)</f>
        <v/>
      </c>
      <c r="J31" s="205" t="str">
        <f>IF(Inputs!J31="","",Inputs!J31)</f>
        <v/>
      </c>
      <c r="K31" s="205" t="str">
        <f>IF(Inputs!K31="","",Inputs!K31)</f>
        <v/>
      </c>
      <c r="L31" s="205" t="str">
        <f>IF(Inputs!L31="","",Inputs!L31)</f>
        <v/>
      </c>
      <c r="M31" s="205" t="str">
        <f>IF(Inputs!M31="","",Inputs!M31)</f>
        <v/>
      </c>
      <c r="N31" s="87"/>
    </row>
    <row r="32" spans="1:14" ht="15.75" customHeight="1" x14ac:dyDescent="0.15">
      <c r="A32" s="4"/>
      <c r="B32" s="94" t="s">
        <v>116</v>
      </c>
      <c r="C32" s="65">
        <f>Fin_Analysis!I48</f>
        <v>30946</v>
      </c>
      <c r="D32" s="205">
        <f>IF(Inputs!D32="","",Inputs!D32)</f>
        <v>18682</v>
      </c>
      <c r="E32" s="205">
        <f>IF(Inputs!E32="","",Inputs!E32)</f>
        <v>61277</v>
      </c>
      <c r="F32" s="205">
        <f>IF(Inputs!F32="","",Inputs!F32)</f>
        <v>51229</v>
      </c>
      <c r="G32" s="205">
        <f>IF(Inputs!G32="","",Inputs!G32)</f>
        <v>23195</v>
      </c>
      <c r="H32" s="205" t="str">
        <f>IF(Inputs!H32="","",Inputs!H32)</f>
        <v/>
      </c>
      <c r="I32" s="205" t="str">
        <f>IF(Inputs!I32="","",Inputs!I32)</f>
        <v/>
      </c>
      <c r="J32" s="205" t="str">
        <f>IF(Inputs!J32="","",Inputs!J32)</f>
        <v/>
      </c>
      <c r="K32" s="205" t="str">
        <f>IF(Inputs!K32="","",Inputs!K32)</f>
        <v/>
      </c>
      <c r="L32" s="205" t="str">
        <f>IF(Inputs!L32="","",Inputs!L32)</f>
        <v/>
      </c>
      <c r="M32" s="205" t="str">
        <f>IF(Inputs!M32="","",Inputs!M32)</f>
        <v/>
      </c>
      <c r="N32" s="87"/>
    </row>
    <row r="33" spans="1:14" ht="15.5" customHeight="1" x14ac:dyDescent="0.15">
      <c r="A33" s="4"/>
      <c r="B33" s="94" t="s">
        <v>17</v>
      </c>
      <c r="C33" s="65">
        <f>Fin_Analysis!I15</f>
        <v>13416</v>
      </c>
      <c r="D33" s="205">
        <f>IF(Inputs!D33="","",Inputs!D33)</f>
        <v>6202</v>
      </c>
      <c r="E33" s="205">
        <f>IF(Inputs!E33="","",Inputs!E33)</f>
        <v>5517</v>
      </c>
      <c r="F33" s="205">
        <f>IF(Inputs!F33="","",Inputs!F33)</f>
        <v>301783</v>
      </c>
      <c r="G33" s="205">
        <f>IF(Inputs!G33="","",Inputs!G33)</f>
        <v>3225</v>
      </c>
      <c r="H33" s="205" t="str">
        <f>IF(Inputs!H33="","",Inputs!H33)</f>
        <v/>
      </c>
      <c r="I33" s="205" t="str">
        <f>IF(Inputs!I33="","",Inputs!I33)</f>
        <v/>
      </c>
      <c r="J33" s="205" t="str">
        <f>IF(Inputs!J33="","",Inputs!J33)</f>
        <v/>
      </c>
      <c r="K33" s="205" t="str">
        <f>IF(Inputs!K33="","",Inputs!K33)</f>
        <v/>
      </c>
      <c r="L33" s="205" t="str">
        <f>IF(Inputs!L33="","",Inputs!L33)</f>
        <v/>
      </c>
      <c r="M33" s="205" t="str">
        <f>IF(Inputs!M33="","",Inputs!M33)</f>
        <v/>
      </c>
      <c r="N33" s="87"/>
    </row>
    <row r="34" spans="1:14" ht="15.75" customHeight="1" x14ac:dyDescent="0.15">
      <c r="A34" s="4"/>
      <c r="B34" s="94" t="s">
        <v>18</v>
      </c>
      <c r="C34" s="65">
        <f>Fin_Analysis!I34</f>
        <v>20583</v>
      </c>
      <c r="D34" s="205">
        <f>IF(Inputs!D34="","",Inputs!D34)</f>
        <v>10412</v>
      </c>
      <c r="E34" s="205">
        <f>IF(Inputs!E34="","",Inputs!E34)</f>
        <v>9392</v>
      </c>
      <c r="F34" s="205">
        <f>IF(Inputs!F34="","",Inputs!F34)</f>
        <v>5096</v>
      </c>
      <c r="G34" s="205">
        <f>IF(Inputs!G34="","",Inputs!G34)</f>
        <v>6880</v>
      </c>
      <c r="H34" s="205" t="str">
        <f>IF(Inputs!H34="","",Inputs!H34)</f>
        <v/>
      </c>
      <c r="I34" s="205" t="str">
        <f>IF(Inputs!I34="","",Inputs!I34)</f>
        <v/>
      </c>
      <c r="J34" s="205" t="str">
        <f>IF(Inputs!J34="","",Inputs!J34)</f>
        <v/>
      </c>
      <c r="K34" s="205" t="str">
        <f>IF(Inputs!K34="","",Inputs!K34)</f>
        <v/>
      </c>
      <c r="L34" s="205" t="str">
        <f>IF(Inputs!L34="","",Inputs!L34)</f>
        <v/>
      </c>
      <c r="M34" s="205" t="str">
        <f>IF(Inputs!M34="","",Inputs!M34)</f>
        <v/>
      </c>
      <c r="N34" s="87"/>
    </row>
    <row r="35" spans="1:14" ht="15.75" customHeight="1" x14ac:dyDescent="0.15">
      <c r="A35" s="4"/>
      <c r="B35" s="94" t="s">
        <v>19</v>
      </c>
      <c r="C35" s="77">
        <f t="shared" ref="C35" si="21">IF(OR(C33="",C34=""),"",C33+C34)</f>
        <v>33999</v>
      </c>
      <c r="D35" s="77">
        <f t="shared" ref="D35" si="22">IF(OR(D33="",D34=""),"",D33+D34)</f>
        <v>16614</v>
      </c>
      <c r="E35" s="77">
        <f t="shared" ref="E35" si="23">IF(OR(E33="",E34=""),"",E33+E34)</f>
        <v>14909</v>
      </c>
      <c r="F35" s="77">
        <f t="shared" ref="F35" si="24">IF(OR(F33="",F34=""),"",F33+F34)</f>
        <v>306879</v>
      </c>
      <c r="G35" s="77">
        <f t="shared" ref="G35" si="25">IF(OR(G33="",G34=""),"",G33+G34)</f>
        <v>10105</v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15">
      <c r="A36" s="4"/>
      <c r="B36" s="94" t="s">
        <v>141</v>
      </c>
      <c r="C36" s="65">
        <f>Fin_Analysis!D3</f>
        <v>3027292</v>
      </c>
      <c r="D36" s="205">
        <f>IF(Inputs!D35="","",Inputs!D35)</f>
        <v>2824568</v>
      </c>
      <c r="E36" s="205">
        <f>IF(Inputs!E35="","",Inputs!E35)</f>
        <v>2735259</v>
      </c>
      <c r="F36" s="205">
        <f>IF(Inputs!F35="","",Inputs!F35)</f>
        <v>250534</v>
      </c>
      <c r="G36" s="205">
        <f>IF(Inputs!G35="","",Inputs!G35)</f>
        <v>13930</v>
      </c>
      <c r="H36" s="205" t="str">
        <f>IF(Inputs!H35="","",Inputs!H35)</f>
        <v/>
      </c>
      <c r="I36" s="205" t="str">
        <f>IF(Inputs!I35="","",Inputs!I35)</f>
        <v/>
      </c>
      <c r="J36" s="205" t="str">
        <f>IF(Inputs!J35="","",Inputs!J35)</f>
        <v/>
      </c>
      <c r="K36" s="205" t="str">
        <f>IF(Inputs!K35="","",Inputs!K35)</f>
        <v/>
      </c>
      <c r="L36" s="205" t="str">
        <f>IF(Inputs!L35="","",Inputs!L35)</f>
        <v/>
      </c>
      <c r="M36" s="205" t="str">
        <f>IF(Inputs!M35="","",Inputs!M35)</f>
        <v/>
      </c>
      <c r="N36" s="87"/>
    </row>
    <row r="37" spans="1:14" ht="15.75" customHeight="1" x14ac:dyDescent="0.15">
      <c r="A37" s="4"/>
      <c r="B37" s="94" t="s">
        <v>142</v>
      </c>
      <c r="C37" s="65">
        <f>Fin_Analysis!D4</f>
        <v>3990</v>
      </c>
      <c r="D37" s="205">
        <f>IF(Inputs!D36="","",Inputs!D36)</f>
        <v>7297</v>
      </c>
      <c r="E37" s="205">
        <f>IF(Inputs!E36="","",Inputs!E36)</f>
        <v>1498</v>
      </c>
      <c r="F37" s="205">
        <f>IF(Inputs!F36="","",Inputs!F36)</f>
        <v>2853</v>
      </c>
      <c r="G37" s="205">
        <f>IF(Inputs!G36="","",Inputs!G36)</f>
        <v>696</v>
      </c>
      <c r="H37" s="205" t="str">
        <f>IF(Inputs!H36="","",Inputs!H36)</f>
        <v/>
      </c>
      <c r="I37" s="205" t="str">
        <f>IF(Inputs!I36="","",Inputs!I36)</f>
        <v/>
      </c>
      <c r="J37" s="205" t="str">
        <f>IF(Inputs!J36="","",Inputs!J36)</f>
        <v/>
      </c>
      <c r="K37" s="205" t="str">
        <f>IF(Inputs!K36="","",Inputs!K36)</f>
        <v/>
      </c>
      <c r="L37" s="205" t="str">
        <f>IF(Inputs!L36="","",Inputs!L36)</f>
        <v/>
      </c>
      <c r="M37" s="205" t="str">
        <f>IF(Inputs!M36="","",Inputs!M36)</f>
        <v/>
      </c>
      <c r="N37" s="87"/>
    </row>
    <row r="38" spans="1:14" ht="15.75" customHeight="1" x14ac:dyDescent="0.15">
      <c r="A38" s="4"/>
      <c r="B38" s="94" t="s">
        <v>140</v>
      </c>
      <c r="C38" s="65">
        <f>Fin_Analysis!C63</f>
        <v>3045410</v>
      </c>
      <c r="D38" s="205">
        <f>IF(Inputs!D37="","",Inputs!D37)</f>
        <v>2868641</v>
      </c>
      <c r="E38" s="205" t="str">
        <f>IF(Inputs!E37="","",Inputs!E37)</f>
        <v/>
      </c>
      <c r="F38" s="205" t="str">
        <f>IF(Inputs!F37="","",Inputs!F37)</f>
        <v/>
      </c>
      <c r="G38" s="205" t="str">
        <f>IF(Inputs!G37="","",Inputs!G37)</f>
        <v/>
      </c>
      <c r="H38" s="205" t="str">
        <f>IF(Inputs!H37="","",Inputs!H37)</f>
        <v/>
      </c>
      <c r="I38" s="205" t="str">
        <f>IF(Inputs!I37="","",Inputs!I37)</f>
        <v/>
      </c>
      <c r="J38" s="205" t="str">
        <f>IF(Inputs!J37="","",Inputs!J37)</f>
        <v/>
      </c>
      <c r="K38" s="205" t="str">
        <f>IF(Inputs!K37="","",Inputs!K37)</f>
        <v/>
      </c>
      <c r="L38" s="205" t="str">
        <f>IF(Inputs!L37="","",Inputs!L37)</f>
        <v/>
      </c>
      <c r="M38" s="205" t="str">
        <f>IF(Inputs!M37="","",Inputs!M37)</f>
        <v/>
      </c>
      <c r="N38" s="87"/>
    </row>
    <row r="39" spans="1:14" ht="15.75" customHeight="1" x14ac:dyDescent="0.15">
      <c r="A39" s="4"/>
      <c r="B39" s="94" t="s">
        <v>144</v>
      </c>
      <c r="C39" s="65">
        <f>Fin_Analysis!C68</f>
        <v>624759</v>
      </c>
      <c r="D39" s="65">
        <f>IF(D38="","",D27-D38)</f>
        <v>709518</v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15">
      <c r="A40" s="4"/>
      <c r="B40" s="98" t="s">
        <v>162</v>
      </c>
      <c r="C40" s="157">
        <f>IF(C6="","",C14/MAX(C39,0))</f>
        <v>0.16361829121309177</v>
      </c>
      <c r="D40" s="157">
        <f>IF(D6="","",D14/MAX(D39,0))</f>
        <v>1.8773308076750696E-3</v>
      </c>
      <c r="E40" s="157" t="e">
        <f>IF(E6="","",E14/MAX(E39,0))</f>
        <v>#DIV/0!</v>
      </c>
      <c r="F40" s="157" t="str">
        <f t="shared" ref="F40:M40" si="33">IF(F39="","",F14/F39)</f>
        <v/>
      </c>
      <c r="G40" s="157" t="str">
        <f t="shared" si="33"/>
        <v/>
      </c>
      <c r="H40" s="157" t="str">
        <f t="shared" si="33"/>
        <v/>
      </c>
      <c r="I40" s="157" t="str">
        <f t="shared" si="33"/>
        <v/>
      </c>
      <c r="J40" s="157" t="str">
        <f t="shared" si="33"/>
        <v/>
      </c>
      <c r="K40" s="157" t="str">
        <f t="shared" si="33"/>
        <v/>
      </c>
      <c r="L40" s="157" t="str">
        <f t="shared" si="33"/>
        <v/>
      </c>
      <c r="M40" s="157" t="str">
        <f t="shared" si="33"/>
        <v/>
      </c>
      <c r="N40" s="87"/>
    </row>
    <row r="41" spans="1:14" ht="15.75" customHeight="1" x14ac:dyDescent="0.15">
      <c r="A41" s="16"/>
      <c r="B41" s="55" t="s">
        <v>127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15">
      <c r="A42" s="4"/>
      <c r="B42" s="95" t="s">
        <v>98</v>
      </c>
      <c r="C42" s="158">
        <f t="shared" ref="C42:M42" si="34">IF(C6="","",C8/C6)</f>
        <v>0.55541924442229906</v>
      </c>
      <c r="D42" s="158">
        <f t="shared" si="34"/>
        <v>0.5842954491724951</v>
      </c>
      <c r="E42" s="158">
        <f t="shared" si="34"/>
        <v>0.55491457230760188</v>
      </c>
      <c r="F42" s="158">
        <f t="shared" si="34"/>
        <v>0.56373982612619067</v>
      </c>
      <c r="G42" s="158">
        <f t="shared" si="34"/>
        <v>0.56638778894348862</v>
      </c>
      <c r="H42" s="158" t="str">
        <f t="shared" si="34"/>
        <v/>
      </c>
      <c r="I42" s="158" t="str">
        <f t="shared" si="34"/>
        <v/>
      </c>
      <c r="J42" s="158" t="str">
        <f t="shared" si="34"/>
        <v/>
      </c>
      <c r="K42" s="158" t="str">
        <f t="shared" si="34"/>
        <v/>
      </c>
      <c r="L42" s="158" t="str">
        <f t="shared" si="34"/>
        <v/>
      </c>
      <c r="M42" s="158" t="str">
        <f t="shared" si="34"/>
        <v/>
      </c>
      <c r="N42" s="87"/>
    </row>
    <row r="43" spans="1:14" ht="15.75" customHeight="1" x14ac:dyDescent="0.15">
      <c r="A43" s="4"/>
      <c r="B43" s="94" t="s">
        <v>246</v>
      </c>
      <c r="C43" s="155">
        <f t="shared" ref="C43:M43" si="35">IF(C6="","",(C10+MAX(C11,0))/C6)</f>
        <v>0.37949349616392825</v>
      </c>
      <c r="D43" s="155">
        <f t="shared" si="35"/>
        <v>0.41418931342879145</v>
      </c>
      <c r="E43" s="155">
        <f t="shared" si="35"/>
        <v>0.39871532034748752</v>
      </c>
      <c r="F43" s="155">
        <f t="shared" si="35"/>
        <v>0.2682542237658872</v>
      </c>
      <c r="G43" s="155">
        <f t="shared" si="35"/>
        <v>0.28671564736786559</v>
      </c>
      <c r="H43" s="155" t="str">
        <f t="shared" si="35"/>
        <v/>
      </c>
      <c r="I43" s="155" t="str">
        <f t="shared" si="35"/>
        <v/>
      </c>
      <c r="J43" s="155" t="str">
        <f t="shared" si="35"/>
        <v/>
      </c>
      <c r="K43" s="155" t="str">
        <f t="shared" si="35"/>
        <v/>
      </c>
      <c r="L43" s="155" t="str">
        <f t="shared" si="35"/>
        <v/>
      </c>
      <c r="M43" s="155" t="str">
        <f t="shared" si="35"/>
        <v/>
      </c>
      <c r="N43" s="87"/>
    </row>
    <row r="44" spans="1:14" ht="15.75" customHeight="1" x14ac:dyDescent="0.15">
      <c r="A44" s="4"/>
      <c r="B44" s="94" t="s">
        <v>109</v>
      </c>
      <c r="C44" s="155">
        <f t="shared" ref="C44:M44" si="36">IF(C6="","",MAX(C16,0)/C6)</f>
        <v>0</v>
      </c>
      <c r="D44" s="155">
        <f t="shared" si="36"/>
        <v>0</v>
      </c>
      <c r="E44" s="155">
        <f t="shared" si="36"/>
        <v>0</v>
      </c>
      <c r="F44" s="155">
        <f t="shared" si="36"/>
        <v>0</v>
      </c>
      <c r="G44" s="155">
        <f t="shared" si="36"/>
        <v>0</v>
      </c>
      <c r="H44" s="155" t="str">
        <f t="shared" si="36"/>
        <v/>
      </c>
      <c r="I44" s="155" t="str">
        <f t="shared" si="36"/>
        <v/>
      </c>
      <c r="J44" s="155" t="str">
        <f t="shared" si="36"/>
        <v/>
      </c>
      <c r="K44" s="155" t="str">
        <f t="shared" si="36"/>
        <v/>
      </c>
      <c r="L44" s="155" t="str">
        <f t="shared" si="36"/>
        <v/>
      </c>
      <c r="M44" s="155" t="str">
        <f t="shared" si="36"/>
        <v/>
      </c>
      <c r="N44" s="87"/>
    </row>
    <row r="45" spans="1:14" ht="15.75" customHeight="1" x14ac:dyDescent="0.15">
      <c r="A45" s="4"/>
      <c r="B45" s="94" t="s">
        <v>122</v>
      </c>
      <c r="C45" s="155">
        <f t="shared" ref="C45:M45" si="37">IF(C6="","",MAX(C17,0)/C6)</f>
        <v>6.208277497005729E-4</v>
      </c>
      <c r="D45" s="155">
        <f t="shared" si="37"/>
        <v>5.9655559994967644E-4</v>
      </c>
      <c r="E45" s="155">
        <f t="shared" si="37"/>
        <v>9.1173366750378854E-4</v>
      </c>
      <c r="F45" s="155">
        <f t="shared" si="37"/>
        <v>1.5539134531893119E-3</v>
      </c>
      <c r="G45" s="155">
        <f t="shared" si="37"/>
        <v>2.1613384974143452E-4</v>
      </c>
      <c r="H45" s="155" t="str">
        <f t="shared" si="37"/>
        <v/>
      </c>
      <c r="I45" s="155" t="str">
        <f t="shared" si="37"/>
        <v/>
      </c>
      <c r="J45" s="155" t="str">
        <f t="shared" si="37"/>
        <v/>
      </c>
      <c r="K45" s="155" t="str">
        <f t="shared" si="37"/>
        <v/>
      </c>
      <c r="L45" s="155" t="str">
        <f t="shared" si="37"/>
        <v/>
      </c>
      <c r="M45" s="155" t="str">
        <f t="shared" si="37"/>
        <v/>
      </c>
      <c r="N45" s="87"/>
    </row>
    <row r="46" spans="1:14" ht="15.75" customHeight="1" x14ac:dyDescent="0.15">
      <c r="A46" s="4"/>
      <c r="B46" s="94" t="s">
        <v>132</v>
      </c>
      <c r="C46" s="155">
        <f>IF(C6="","",MAX(C12,0)/C6)</f>
        <v>1.8148224946381651E-3</v>
      </c>
      <c r="D46" s="155">
        <f t="shared" ref="D46:M46" si="38">IF(D6="","",MAX(D12,0)/D6)</f>
        <v>5.9448182613756862E-4</v>
      </c>
      <c r="E46" s="155">
        <f t="shared" si="38"/>
        <v>0</v>
      </c>
      <c r="F46" s="155">
        <f t="shared" si="38"/>
        <v>0</v>
      </c>
      <c r="G46" s="155">
        <f t="shared" si="38"/>
        <v>0</v>
      </c>
      <c r="H46" s="155" t="str">
        <f t="shared" si="38"/>
        <v/>
      </c>
      <c r="I46" s="155" t="str">
        <f t="shared" si="38"/>
        <v/>
      </c>
      <c r="J46" s="155" t="str">
        <f t="shared" si="38"/>
        <v/>
      </c>
      <c r="K46" s="155" t="str">
        <f t="shared" si="38"/>
        <v/>
      </c>
      <c r="L46" s="155" t="str">
        <f t="shared" si="38"/>
        <v/>
      </c>
      <c r="M46" s="155" t="str">
        <f t="shared" si="38"/>
        <v/>
      </c>
      <c r="N46" s="87"/>
    </row>
    <row r="47" spans="1:14" ht="15.75" customHeight="1" x14ac:dyDescent="0.15">
      <c r="A47" s="4"/>
      <c r="B47" s="94" t="s">
        <v>248</v>
      </c>
      <c r="C47" s="155">
        <f>IF(C6="","",ABS(MAX(C21,0)-MAX(C19,0))/C6)</f>
        <v>1.2789175437999239E-2</v>
      </c>
      <c r="D47" s="155">
        <f t="shared" ref="D47:M47" si="39">IF(D6="","",ABS(MAX(D21,0)-MAX(D19,0))/D6)</f>
        <v>1.4174935263694165E-2</v>
      </c>
      <c r="E47" s="155">
        <f t="shared" si="39"/>
        <v>0</v>
      </c>
      <c r="F47" s="155">
        <f t="shared" si="39"/>
        <v>0</v>
      </c>
      <c r="G47" s="155">
        <f t="shared" si="39"/>
        <v>0</v>
      </c>
      <c r="H47" s="155" t="str">
        <f t="shared" si="39"/>
        <v/>
      </c>
      <c r="I47" s="155" t="str">
        <f t="shared" si="39"/>
        <v/>
      </c>
      <c r="J47" s="155" t="str">
        <f t="shared" si="39"/>
        <v/>
      </c>
      <c r="K47" s="155" t="str">
        <f t="shared" si="39"/>
        <v/>
      </c>
      <c r="L47" s="155" t="str">
        <f t="shared" si="39"/>
        <v/>
      </c>
      <c r="M47" s="155" t="str">
        <f t="shared" si="39"/>
        <v/>
      </c>
      <c r="N47" s="87"/>
    </row>
    <row r="48" spans="1:14" ht="15.75" customHeight="1" x14ac:dyDescent="0.15">
      <c r="A48" s="4"/>
      <c r="B48" s="94" t="s">
        <v>125</v>
      </c>
      <c r="C48" s="155">
        <f t="shared" ref="C48:M48" si="40">IF(C6="","",C22/C6)</f>
        <v>4.9862433731434744E-2</v>
      </c>
      <c r="D48" s="155">
        <f t="shared" si="40"/>
        <v>-1.385073529106798E-2</v>
      </c>
      <c r="E48" s="155">
        <f t="shared" si="40"/>
        <v>4.5458373677406808E-2</v>
      </c>
      <c r="F48" s="155">
        <f t="shared" si="40"/>
        <v>0.16645203665473277</v>
      </c>
      <c r="G48" s="155">
        <f t="shared" si="40"/>
        <v>0.14668042983890439</v>
      </c>
      <c r="H48" s="155" t="str">
        <f t="shared" si="40"/>
        <v/>
      </c>
      <c r="I48" s="155" t="str">
        <f t="shared" si="40"/>
        <v/>
      </c>
      <c r="J48" s="155" t="str">
        <f t="shared" si="40"/>
        <v/>
      </c>
      <c r="K48" s="155" t="str">
        <f t="shared" si="40"/>
        <v/>
      </c>
      <c r="L48" s="155" t="str">
        <f t="shared" si="40"/>
        <v/>
      </c>
      <c r="M48" s="155" t="str">
        <f t="shared" si="40"/>
        <v/>
      </c>
      <c r="N48" s="87"/>
    </row>
    <row r="49" spans="1:14" ht="15.75" customHeight="1" x14ac:dyDescent="0.15">
      <c r="A49" s="16"/>
      <c r="B49" s="102" t="s">
        <v>153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15">
      <c r="A50" s="4"/>
      <c r="B50" s="95" t="s">
        <v>150</v>
      </c>
      <c r="C50" s="158">
        <f t="shared" ref="C50:M50" si="41">IF(C29="","",C29/C6)</f>
        <v>0.11203000770618693</v>
      </c>
      <c r="D50" s="158" t="str">
        <f t="shared" si="41"/>
        <v/>
      </c>
      <c r="E50" s="158" t="str">
        <f t="shared" si="41"/>
        <v/>
      </c>
      <c r="F50" s="158" t="str">
        <f t="shared" si="41"/>
        <v/>
      </c>
      <c r="G50" s="158" t="str">
        <f t="shared" si="41"/>
        <v/>
      </c>
      <c r="H50" s="158" t="str">
        <f t="shared" si="41"/>
        <v/>
      </c>
      <c r="I50" s="158" t="str">
        <f t="shared" si="41"/>
        <v/>
      </c>
      <c r="J50" s="158" t="str">
        <f t="shared" si="41"/>
        <v/>
      </c>
      <c r="K50" s="158" t="str">
        <f t="shared" si="41"/>
        <v/>
      </c>
      <c r="L50" s="158" t="str">
        <f t="shared" si="41"/>
        <v/>
      </c>
      <c r="M50" s="158" t="str">
        <f t="shared" si="41"/>
        <v/>
      </c>
      <c r="N50" s="87"/>
    </row>
    <row r="51" spans="1:14" ht="15.75" customHeight="1" x14ac:dyDescent="0.15">
      <c r="A51" s="4"/>
      <c r="B51" s="94" t="s">
        <v>151</v>
      </c>
      <c r="C51" s="155">
        <f t="shared" ref="C51:M51" si="42">IF(C30="","",C30/C6)</f>
        <v>9.7865479067953717E-2</v>
      </c>
      <c r="D51" s="155" t="str">
        <f t="shared" si="42"/>
        <v/>
      </c>
      <c r="E51" s="155" t="str">
        <f t="shared" si="42"/>
        <v/>
      </c>
      <c r="F51" s="155" t="str">
        <f t="shared" si="42"/>
        <v/>
      </c>
      <c r="G51" s="155" t="str">
        <f t="shared" si="42"/>
        <v/>
      </c>
      <c r="H51" s="155" t="str">
        <f t="shared" si="42"/>
        <v/>
      </c>
      <c r="I51" s="155" t="str">
        <f t="shared" si="42"/>
        <v/>
      </c>
      <c r="J51" s="155" t="str">
        <f t="shared" si="42"/>
        <v/>
      </c>
      <c r="K51" s="155" t="str">
        <f t="shared" si="42"/>
        <v/>
      </c>
      <c r="L51" s="155" t="str">
        <f t="shared" si="42"/>
        <v/>
      </c>
      <c r="M51" s="155" t="str">
        <f t="shared" si="42"/>
        <v/>
      </c>
      <c r="N51" s="87"/>
    </row>
    <row r="52" spans="1:14" ht="15.75" customHeight="1" x14ac:dyDescent="0.15">
      <c r="A52" s="16"/>
      <c r="B52" s="102" t="s">
        <v>126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15">
      <c r="A53" s="4"/>
      <c r="B53" s="95" t="s">
        <v>20</v>
      </c>
      <c r="C53" s="158">
        <f>IF(C36="","",(C27-C36)/C27)</f>
        <v>0.1751627786077426</v>
      </c>
      <c r="D53" s="158">
        <f t="shared" ref="D53:M53" si="43">IF(D36="","",(D27-D36)/D27)</f>
        <v>0.21060858391144721</v>
      </c>
      <c r="E53" s="158">
        <f t="shared" si="43"/>
        <v>0.21276976631405353</v>
      </c>
      <c r="F53" s="158">
        <f t="shared" si="43"/>
        <v>0.84857949978181479</v>
      </c>
      <c r="G53" s="158">
        <f t="shared" si="43"/>
        <v>0.98878596160178012</v>
      </c>
      <c r="H53" s="158" t="str">
        <f t="shared" si="43"/>
        <v/>
      </c>
      <c r="I53" s="158" t="str">
        <f t="shared" si="43"/>
        <v/>
      </c>
      <c r="J53" s="158" t="str">
        <f t="shared" si="43"/>
        <v/>
      </c>
      <c r="K53" s="158" t="str">
        <f t="shared" si="43"/>
        <v/>
      </c>
      <c r="L53" s="158" t="str">
        <f t="shared" si="43"/>
        <v/>
      </c>
      <c r="M53" s="158" t="str">
        <f t="shared" si="43"/>
        <v/>
      </c>
    </row>
    <row r="54" spans="1:14" ht="15.75" customHeight="1" x14ac:dyDescent="0.15">
      <c r="A54" s="4"/>
      <c r="B54" s="94" t="s">
        <v>121</v>
      </c>
      <c r="C54" s="159">
        <f t="shared" ref="C54:M54" si="44">IF(OR(C22="",C35=""),"",IF(C35&lt;=0,"-",C22/C35))</f>
        <v>2.369393217447572</v>
      </c>
      <c r="D54" s="159">
        <f t="shared" si="44"/>
        <v>-1.2060310581437341</v>
      </c>
      <c r="E54" s="159">
        <f t="shared" si="44"/>
        <v>5.3942585015762292</v>
      </c>
      <c r="F54" s="159">
        <f t="shared" si="44"/>
        <v>0.92325313885928983</v>
      </c>
      <c r="G54" s="159">
        <f t="shared" si="44"/>
        <v>20.080950024740229</v>
      </c>
      <c r="H54" s="159" t="str">
        <f t="shared" si="44"/>
        <v/>
      </c>
      <c r="I54" s="159" t="str">
        <f t="shared" si="44"/>
        <v/>
      </c>
      <c r="J54" s="159" t="str">
        <f t="shared" si="44"/>
        <v/>
      </c>
      <c r="K54" s="159" t="str">
        <f t="shared" si="44"/>
        <v/>
      </c>
      <c r="L54" s="159" t="str">
        <f t="shared" si="44"/>
        <v/>
      </c>
      <c r="M54" s="159" t="str">
        <f t="shared" si="44"/>
        <v/>
      </c>
    </row>
    <row r="55" spans="1:14" ht="15.75" customHeight="1" x14ac:dyDescent="0.15">
      <c r="A55" s="4"/>
      <c r="B55" s="94" t="s">
        <v>123</v>
      </c>
      <c r="C55" s="155">
        <f t="shared" ref="C55:M55" si="45">IF(C22="","",IF(MAX(C17,0)&lt;=0,"-",C17/C22))</f>
        <v>1.2450811226833175E-2</v>
      </c>
      <c r="D55" s="155">
        <f t="shared" si="45"/>
        <v>-4.3070319908169882E-2</v>
      </c>
      <c r="E55" s="155">
        <f t="shared" si="45"/>
        <v>2.0056451512626985E-2</v>
      </c>
      <c r="F55" s="155">
        <f t="shared" si="45"/>
        <v>9.3355027935918562E-3</v>
      </c>
      <c r="G55" s="155">
        <f t="shared" si="45"/>
        <v>1.4735016114883846E-3</v>
      </c>
      <c r="H55" s="155" t="str">
        <f t="shared" si="45"/>
        <v/>
      </c>
      <c r="I55" s="155" t="str">
        <f t="shared" si="45"/>
        <v/>
      </c>
      <c r="J55" s="155" t="str">
        <f t="shared" si="45"/>
        <v/>
      </c>
      <c r="K55" s="155" t="str">
        <f t="shared" si="45"/>
        <v/>
      </c>
      <c r="L55" s="155" t="str">
        <f t="shared" si="45"/>
        <v/>
      </c>
      <c r="M55" s="155" t="str">
        <f t="shared" si="45"/>
        <v/>
      </c>
    </row>
    <row r="56" spans="1:14" ht="15.75" customHeight="1" x14ac:dyDescent="0.15">
      <c r="A56" s="4"/>
      <c r="B56" s="98" t="s">
        <v>21</v>
      </c>
      <c r="C56" s="160">
        <f t="shared" ref="C56:M56" si="46">IF(C28="","",C28/C31)</f>
        <v>4.8753437887604978</v>
      </c>
      <c r="D56" s="160" t="str">
        <f t="shared" si="46"/>
        <v/>
      </c>
      <c r="E56" s="160" t="str">
        <f t="shared" si="46"/>
        <v/>
      </c>
      <c r="F56" s="160" t="str">
        <f t="shared" si="46"/>
        <v/>
      </c>
      <c r="G56" s="160" t="str">
        <f t="shared" si="46"/>
        <v/>
      </c>
      <c r="H56" s="160" t="str">
        <f t="shared" si="46"/>
        <v/>
      </c>
      <c r="I56" s="160" t="str">
        <f t="shared" si="46"/>
        <v/>
      </c>
      <c r="J56" s="160" t="str">
        <f t="shared" si="46"/>
        <v/>
      </c>
      <c r="K56" s="160" t="str">
        <f t="shared" si="46"/>
        <v/>
      </c>
      <c r="L56" s="160" t="str">
        <f t="shared" si="46"/>
        <v/>
      </c>
      <c r="M56" s="160" t="str">
        <f t="shared" si="46"/>
        <v/>
      </c>
    </row>
    <row r="57" spans="1:14" ht="15.75" customHeight="1" x14ac:dyDescent="0.15"/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>
      <c r="A246" s="4"/>
    </row>
    <row r="247" spans="1:1" ht="15.75" customHeight="1" x14ac:dyDescent="0.15">
      <c r="A247" s="4"/>
    </row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</sheetData>
  <phoneticPr fontId="20" type="noConversion"/>
  <conditionalFormatting sqref="C27:M40 C6:M23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abSelected="1" topLeftCell="A54" zoomScaleNormal="100" workbookViewId="0">
      <selection activeCell="E76" sqref="E76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15">
      <c r="B3" s="3" t="s">
        <v>23</v>
      </c>
      <c r="C3" s="87"/>
      <c r="D3" s="116">
        <f>C49-I49</f>
        <v>3027292</v>
      </c>
      <c r="E3" s="67" t="str">
        <f>IF((C49-I49)=D3,"", "Error!")</f>
        <v/>
      </c>
      <c r="F3" s="87"/>
      <c r="G3" s="87"/>
      <c r="H3" s="47" t="s">
        <v>24</v>
      </c>
      <c r="I3" s="210">
        <f>Inputs!C76</f>
        <v>3023302</v>
      </c>
      <c r="K3" s="24"/>
    </row>
    <row r="4" spans="1:11" ht="15" customHeight="1" x14ac:dyDescent="0.15">
      <c r="B4" s="3" t="s">
        <v>25</v>
      </c>
      <c r="C4" s="87"/>
      <c r="D4" s="65">
        <f>D3-I3</f>
        <v>3990</v>
      </c>
      <c r="E4" s="37"/>
      <c r="F4" s="87"/>
      <c r="G4" s="87"/>
      <c r="H4" s="21"/>
      <c r="I4" s="54"/>
      <c r="K4" s="24"/>
    </row>
    <row r="5" spans="1:11" ht="15" customHeight="1" x14ac:dyDescent="0.15">
      <c r="C5" s="87"/>
      <c r="D5" s="87"/>
      <c r="E5" s="11" t="s">
        <v>26</v>
      </c>
      <c r="H5" s="1" t="s">
        <v>28</v>
      </c>
      <c r="I5" s="63">
        <f>C28/I28</f>
        <v>4.8753437887604978</v>
      </c>
      <c r="K5" s="24"/>
    </row>
    <row r="6" spans="1:11" ht="15" customHeight="1" thickBot="1" x14ac:dyDescent="0.2">
      <c r="B6" s="20" t="s">
        <v>27</v>
      </c>
      <c r="C6" s="87"/>
      <c r="D6" s="69">
        <f>(E49-I49-E53)*Exchange_Rate</f>
        <v>2142311.2200000002</v>
      </c>
      <c r="E6" s="56">
        <f>1-D6/D3</f>
        <v>0.29233413228720584</v>
      </c>
      <c r="F6" s="87"/>
      <c r="G6" s="87"/>
      <c r="H6" s="1" t="s">
        <v>30</v>
      </c>
      <c r="I6" s="63">
        <f>(C24+C25)/I28</f>
        <v>4.6073037646401307</v>
      </c>
      <c r="J6" s="87"/>
      <c r="K6" s="24"/>
    </row>
    <row r="7" spans="1:11" ht="15" customHeight="1" thickTop="1" x14ac:dyDescent="0.15">
      <c r="B7" s="19" t="s">
        <v>29</v>
      </c>
      <c r="C7" s="87"/>
      <c r="D7" s="66">
        <f>MAX((D6*Exchange_Rate*Data!C4)/Common_Shares, 0)</f>
        <v>1.7352718712910165</v>
      </c>
      <c r="E7" s="11" t="str">
        <f>Dashboard!H3</f>
        <v>HKD</v>
      </c>
      <c r="H7" s="1" t="s">
        <v>31</v>
      </c>
      <c r="I7" s="63">
        <f>C24/I28</f>
        <v>4.1937751151682132</v>
      </c>
      <c r="J7" s="87"/>
      <c r="K7" s="33"/>
    </row>
    <row r="8" spans="1:11" ht="15" customHeight="1" x14ac:dyDescent="0.15">
      <c r="C8" s="87"/>
      <c r="D8" s="87"/>
      <c r="E8" s="87"/>
      <c r="K8" s="24"/>
    </row>
    <row r="9" spans="1:11" ht="15" customHeight="1" x14ac:dyDescent="0.2">
      <c r="A9" s="2"/>
      <c r="B9" s="46" t="s">
        <v>32</v>
      </c>
      <c r="C9" s="86"/>
      <c r="D9" s="209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15">
      <c r="B10" s="22" t="s">
        <v>33</v>
      </c>
      <c r="C10" s="74" t="s">
        <v>34</v>
      </c>
      <c r="D10" s="74" t="s">
        <v>204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15">
      <c r="B11" s="3" t="s">
        <v>38</v>
      </c>
      <c r="C11" s="40">
        <f>Inputs!C40</f>
        <v>2385307</v>
      </c>
      <c r="D11" s="204">
        <f>Inputs!D40</f>
        <v>0.9</v>
      </c>
      <c r="E11" s="88">
        <f t="shared" ref="E11:E22" si="0">C11*D11</f>
        <v>2146776.3000000003</v>
      </c>
      <c r="F11" s="112"/>
      <c r="G11" s="87"/>
      <c r="H11" s="3" t="s">
        <v>39</v>
      </c>
      <c r="I11" s="40">
        <f>Inputs!C66</f>
        <v>0</v>
      </c>
      <c r="J11" s="87"/>
      <c r="K11" s="24"/>
    </row>
    <row r="12" spans="1:11" ht="14" x14ac:dyDescent="0.15">
      <c r="B12" s="1" t="s">
        <v>139</v>
      </c>
      <c r="C12" s="40">
        <f>Inputs!C41</f>
        <v>0</v>
      </c>
      <c r="D12" s="204">
        <f>Inputs!D41</f>
        <v>0.8</v>
      </c>
      <c r="E12" s="88">
        <f t="shared" si="0"/>
        <v>0</v>
      </c>
      <c r="F12" s="112"/>
      <c r="G12" s="87"/>
      <c r="H12" s="3" t="s">
        <v>40</v>
      </c>
      <c r="I12" s="40">
        <f>Inputs!C67</f>
        <v>13416</v>
      </c>
      <c r="J12" s="87"/>
      <c r="K12" s="24"/>
    </row>
    <row r="13" spans="1:11" ht="14" x14ac:dyDescent="0.15">
      <c r="B13" s="3" t="s">
        <v>117</v>
      </c>
      <c r="C13" s="40">
        <f>Inputs!C42</f>
        <v>180994</v>
      </c>
      <c r="D13" s="204">
        <f>Inputs!D42</f>
        <v>0.6</v>
      </c>
      <c r="E13" s="88">
        <f t="shared" si="0"/>
        <v>108596.4</v>
      </c>
      <c r="F13" s="112"/>
      <c r="G13" s="87"/>
      <c r="H13" s="3" t="s">
        <v>41</v>
      </c>
      <c r="I13" s="40">
        <f>Inputs!C68</f>
        <v>0</v>
      </c>
      <c r="J13" s="87"/>
      <c r="K13" s="26"/>
    </row>
    <row r="14" spans="1:11" ht="14" x14ac:dyDescent="0.15">
      <c r="B14" s="3" t="s">
        <v>42</v>
      </c>
      <c r="C14" s="40">
        <f>Inputs!C43</f>
        <v>0</v>
      </c>
      <c r="D14" s="204">
        <f>Inputs!D43</f>
        <v>0.6</v>
      </c>
      <c r="E14" s="88">
        <f t="shared" si="0"/>
        <v>0</v>
      </c>
      <c r="F14" s="112"/>
      <c r="G14" s="87"/>
      <c r="H14" s="86" t="s">
        <v>43</v>
      </c>
      <c r="I14" s="211">
        <f>Inputs!C69</f>
        <v>0</v>
      </c>
      <c r="J14" s="87"/>
      <c r="K14" s="27"/>
    </row>
    <row r="15" spans="1:11" ht="14" x14ac:dyDescent="0.15">
      <c r="B15" s="3" t="s">
        <v>44</v>
      </c>
      <c r="C15" s="40">
        <f>Inputs!C44</f>
        <v>253051</v>
      </c>
      <c r="D15" s="204">
        <f>Inputs!D44</f>
        <v>0.5</v>
      </c>
      <c r="E15" s="88">
        <f t="shared" si="0"/>
        <v>126525.5</v>
      </c>
      <c r="F15" s="112"/>
      <c r="G15" s="87"/>
      <c r="H15" s="1" t="s">
        <v>54</v>
      </c>
      <c r="I15" s="84">
        <f>SUM(I11:I14)</f>
        <v>13416</v>
      </c>
      <c r="J15" s="87"/>
    </row>
    <row r="16" spans="1:11" ht="14" x14ac:dyDescent="0.15">
      <c r="B16" s="1" t="s">
        <v>163</v>
      </c>
      <c r="C16" s="40">
        <f>Inputs!C45</f>
        <v>0</v>
      </c>
      <c r="D16" s="204">
        <f>Inputs!D45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4" x14ac:dyDescent="0.15">
      <c r="B17" s="3" t="s">
        <v>118</v>
      </c>
      <c r="C17" s="40">
        <f>Inputs!C46</f>
        <v>0</v>
      </c>
      <c r="D17" s="204">
        <f>Inputs!D46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4" x14ac:dyDescent="0.15">
      <c r="B18" s="3" t="s">
        <v>47</v>
      </c>
      <c r="C18" s="40">
        <f>Inputs!C47</f>
        <v>158110</v>
      </c>
      <c r="D18" s="204">
        <f>Inputs!D47</f>
        <v>0.5</v>
      </c>
      <c r="E18" s="88">
        <f t="shared" si="0"/>
        <v>79055</v>
      </c>
      <c r="F18" s="112"/>
      <c r="G18" s="87"/>
      <c r="H18" s="87"/>
      <c r="I18" s="87"/>
    </row>
    <row r="19" spans="2:10" ht="14" x14ac:dyDescent="0.15">
      <c r="B19" s="1" t="s">
        <v>48</v>
      </c>
      <c r="C19" s="40">
        <f>Inputs!C48</f>
        <v>0</v>
      </c>
      <c r="D19" s="204">
        <f>Inputs!D48</f>
        <v>0.6</v>
      </c>
      <c r="E19" s="88">
        <f t="shared" si="0"/>
        <v>0</v>
      </c>
      <c r="F19" s="134" t="str">
        <f>Inputs!E48</f>
        <v>N</v>
      </c>
      <c r="G19" s="30">
        <f>IF(F19="Y",0,1)</f>
        <v>1</v>
      </c>
    </row>
    <row r="20" spans="2:10" ht="14" x14ac:dyDescent="0.15">
      <c r="B20" s="3" t="s">
        <v>120</v>
      </c>
      <c r="C20" s="40">
        <f>Inputs!C49</f>
        <v>0</v>
      </c>
      <c r="D20" s="204">
        <f>Inputs!D49</f>
        <v>0.6</v>
      </c>
      <c r="E20" s="88">
        <f t="shared" si="0"/>
        <v>0</v>
      </c>
      <c r="F20" s="134" t="str">
        <f>Inputs!E49</f>
        <v>Y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40">
        <f>Inputs!C50</f>
        <v>5912</v>
      </c>
      <c r="D21" s="204">
        <f>Inputs!D50</f>
        <v>0.9</v>
      </c>
      <c r="E21" s="88">
        <f t="shared" si="0"/>
        <v>5320.8</v>
      </c>
      <c r="F21" s="112"/>
      <c r="G21" s="87"/>
      <c r="H21" s="3"/>
      <c r="I21" s="40"/>
    </row>
    <row r="22" spans="2:10" ht="15" customHeight="1" x14ac:dyDescent="0.15">
      <c r="B22" s="3" t="s">
        <v>51</v>
      </c>
      <c r="C22" s="40">
        <f>Inputs!C51</f>
        <v>0</v>
      </c>
      <c r="D22" s="204">
        <f>Inputs!D51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598515</v>
      </c>
    </row>
    <row r="23" spans="2:10" ht="15" customHeight="1" x14ac:dyDescent="0.15">
      <c r="C23" s="87"/>
      <c r="D23" s="87"/>
      <c r="E23" s="87"/>
      <c r="F23" s="111" t="s">
        <v>52</v>
      </c>
      <c r="G23" s="87"/>
    </row>
    <row r="24" spans="2:10" ht="15" customHeight="1" x14ac:dyDescent="0.15">
      <c r="B24" s="23" t="s">
        <v>53</v>
      </c>
      <c r="C24" s="61">
        <f>SUM(C11:C14)</f>
        <v>2566301</v>
      </c>
      <c r="D24" s="62">
        <f>IF(E24=0,0,E24/C24)</f>
        <v>0.87884184279240829</v>
      </c>
      <c r="E24" s="88">
        <f>SUM(E11:E14)</f>
        <v>2255372.7000000002</v>
      </c>
      <c r="F24" s="113">
        <f>E24/$E$28</f>
        <v>0.91448586004636967</v>
      </c>
      <c r="G24" s="87"/>
    </row>
    <row r="25" spans="2:10" ht="15" customHeight="1" x14ac:dyDescent="0.15">
      <c r="B25" s="23" t="s">
        <v>55</v>
      </c>
      <c r="C25" s="61">
        <f>SUM(C15:C17)</f>
        <v>253051</v>
      </c>
      <c r="D25" s="62">
        <f>IF(E25=0,0,E25/C25)</f>
        <v>0.5</v>
      </c>
      <c r="E25" s="88">
        <f>SUM(E15:E17)</f>
        <v>126525.5</v>
      </c>
      <c r="F25" s="113">
        <f>E25/$E$28</f>
        <v>5.1302288391314184E-2</v>
      </c>
      <c r="G25" s="87"/>
      <c r="H25" s="23" t="s">
        <v>56</v>
      </c>
      <c r="I25" s="63">
        <f>E28/I28</f>
        <v>4.0303138752571774</v>
      </c>
    </row>
    <row r="26" spans="2:10" ht="15" customHeight="1" x14ac:dyDescent="0.15">
      <c r="B26" s="23" t="s">
        <v>57</v>
      </c>
      <c r="C26" s="61">
        <f>C18+C19+C20</f>
        <v>158110</v>
      </c>
      <c r="D26" s="62">
        <f>IF(E26=0,0,E26/C26)</f>
        <v>0.5</v>
      </c>
      <c r="E26" s="88">
        <f>E18+E19+E20</f>
        <v>79055</v>
      </c>
      <c r="F26" s="113">
        <f>E26/$E$28</f>
        <v>3.2054427042575155E-2</v>
      </c>
      <c r="G26" s="87"/>
      <c r="H26" s="23" t="s">
        <v>58</v>
      </c>
      <c r="I26" s="63">
        <f>E24/($I$28-I22)</f>
        <v>168.11066636851521</v>
      </c>
      <c r="J26" s="8" t="str">
        <f>IF(I26&lt;1,"Liquidity Problem!","")</f>
        <v/>
      </c>
    </row>
    <row r="27" spans="2:10" ht="15" customHeight="1" x14ac:dyDescent="0.15">
      <c r="B27" s="23" t="s">
        <v>59</v>
      </c>
      <c r="C27" s="77">
        <f>C21+C22</f>
        <v>5912</v>
      </c>
      <c r="D27" s="62">
        <f>IF(E27=0,0,E27/C27)</f>
        <v>0.9</v>
      </c>
      <c r="E27" s="88">
        <f>E21+E22</f>
        <v>5320.8</v>
      </c>
      <c r="F27" s="113">
        <f>E27/$E$28</f>
        <v>2.1574245197411158E-3</v>
      </c>
      <c r="G27" s="87"/>
      <c r="H27" s="23" t="s">
        <v>60</v>
      </c>
      <c r="I27" s="63">
        <f>(E25+E24)/$I$28</f>
        <v>3.8924293752073358</v>
      </c>
      <c r="J27" s="8" t="str">
        <f>IF(OR(I27&lt;0.75,C28&lt;I28),"Liquidity Issue!","")</f>
        <v/>
      </c>
    </row>
    <row r="28" spans="2:10" ht="15" customHeight="1" x14ac:dyDescent="0.15">
      <c r="B28" s="78" t="s">
        <v>15</v>
      </c>
      <c r="C28" s="79">
        <f>SUM(C11:C22)</f>
        <v>2983374</v>
      </c>
      <c r="D28" s="57">
        <f>E28/C28</f>
        <v>0.82667275373453009</v>
      </c>
      <c r="E28" s="70">
        <f>SUM(E24:E27)</f>
        <v>2466274</v>
      </c>
      <c r="F28" s="112"/>
      <c r="G28" s="87"/>
      <c r="H28" s="78" t="s">
        <v>16</v>
      </c>
      <c r="I28" s="212">
        <f>Inputs!C70</f>
        <v>611931</v>
      </c>
      <c r="J28" s="32">
        <f>IF(J26="",1,0)+IF(J27="",1,0)+IF(J46="",1,0)+IF(J47="",1,0)</f>
        <v>4</v>
      </c>
    </row>
    <row r="29" spans="2:10" ht="15" customHeight="1" x14ac:dyDescent="0.15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15">
      <c r="B30" s="3" t="s">
        <v>61</v>
      </c>
      <c r="C30" s="40">
        <f>Inputs!C52</f>
        <v>279425</v>
      </c>
      <c r="D30" s="204">
        <f>Inputs!D52</f>
        <v>0.8</v>
      </c>
      <c r="E30" s="88">
        <v>0</v>
      </c>
      <c r="F30" s="112"/>
      <c r="G30" s="87"/>
      <c r="H30" s="3" t="s">
        <v>62</v>
      </c>
      <c r="I30" s="40">
        <f>Inputs!C71</f>
        <v>0</v>
      </c>
      <c r="J30" s="87"/>
    </row>
    <row r="31" spans="2:10" ht="15" customHeight="1" x14ac:dyDescent="0.15">
      <c r="B31" s="3" t="s">
        <v>63</v>
      </c>
      <c r="C31" s="40">
        <f>Inputs!C53</f>
        <v>126127</v>
      </c>
      <c r="D31" s="204">
        <f>Inputs!D53</f>
        <v>0.6</v>
      </c>
      <c r="E31" s="88">
        <f t="shared" ref="E31:E42" si="1">C31*D31</f>
        <v>75676.2</v>
      </c>
      <c r="F31" s="112"/>
      <c r="G31" s="87"/>
      <c r="H31" s="3" t="s">
        <v>64</v>
      </c>
      <c r="I31" s="40">
        <f>Inputs!C72</f>
        <v>20583</v>
      </c>
      <c r="J31" s="87"/>
    </row>
    <row r="32" spans="2:10" ht="15" customHeight="1" x14ac:dyDescent="0.15">
      <c r="B32" s="3" t="s">
        <v>65</v>
      </c>
      <c r="C32" s="40">
        <f>Inputs!C54</f>
        <v>0</v>
      </c>
      <c r="D32" s="204">
        <f>Inputs!D54</f>
        <v>0.5</v>
      </c>
      <c r="E32" s="88">
        <f t="shared" si="1"/>
        <v>0</v>
      </c>
      <c r="F32" s="112"/>
      <c r="G32" s="87"/>
      <c r="H32" s="3" t="s">
        <v>66</v>
      </c>
      <c r="I32" s="40">
        <f>Inputs!C73</f>
        <v>0</v>
      </c>
      <c r="J32" s="87"/>
    </row>
    <row r="33" spans="2:10" ht="14" x14ac:dyDescent="0.15">
      <c r="B33" s="1" t="s">
        <v>164</v>
      </c>
      <c r="C33" s="40">
        <f>Inputs!C55</f>
        <v>0</v>
      </c>
      <c r="D33" s="204">
        <f>Inputs!D55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11">
        <f>Inputs!C74</f>
        <v>0</v>
      </c>
      <c r="J33" s="87"/>
    </row>
    <row r="34" spans="2:10" ht="14" x14ac:dyDescent="0.15">
      <c r="B34" s="3" t="s">
        <v>68</v>
      </c>
      <c r="C34" s="40">
        <f>Inputs!C56</f>
        <v>0</v>
      </c>
      <c r="D34" s="204">
        <f>Inputs!D56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20583</v>
      </c>
      <c r="J34" s="87"/>
    </row>
    <row r="35" spans="2:10" ht="14" x14ac:dyDescent="0.15">
      <c r="B35" s="3" t="s">
        <v>70</v>
      </c>
      <c r="C35" s="40">
        <f>Inputs!C57</f>
        <v>1500</v>
      </c>
      <c r="D35" s="204">
        <f>Inputs!D57</f>
        <v>0.1</v>
      </c>
      <c r="E35" s="88">
        <f t="shared" si="1"/>
        <v>150</v>
      </c>
      <c r="F35" s="134" t="str">
        <f>Inputs!E57</f>
        <v>N</v>
      </c>
      <c r="G35" s="30">
        <f>IF(F35="Y",0,1)</f>
        <v>1</v>
      </c>
      <c r="J35" s="87"/>
    </row>
    <row r="36" spans="2:10" ht="14" x14ac:dyDescent="0.15">
      <c r="B36" s="3" t="s">
        <v>72</v>
      </c>
      <c r="C36" s="40">
        <f>Inputs!C58</f>
        <v>0</v>
      </c>
      <c r="D36" s="204">
        <f>Inputs!D58</f>
        <v>0.2</v>
      </c>
      <c r="E36" s="88">
        <f t="shared" si="1"/>
        <v>0</v>
      </c>
      <c r="F36" s="134" t="str">
        <f>Inputs!E58</f>
        <v>N</v>
      </c>
      <c r="G36" s="30">
        <f>IF(F36="Y",0,1)</f>
        <v>1</v>
      </c>
      <c r="H36" s="87"/>
      <c r="I36" s="87"/>
    </row>
    <row r="37" spans="2:10" ht="14" x14ac:dyDescent="0.15">
      <c r="B37" s="1" t="s">
        <v>49</v>
      </c>
      <c r="C37" s="40">
        <f>Inputs!C59</f>
        <v>0</v>
      </c>
      <c r="D37" s="204">
        <f>Inputs!D59</f>
        <v>0.1</v>
      </c>
      <c r="E37" s="88">
        <f t="shared" si="1"/>
        <v>0</v>
      </c>
      <c r="F37" s="134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15">
      <c r="B38" s="3" t="s">
        <v>119</v>
      </c>
      <c r="C38" s="40">
        <f>Inputs!C60</f>
        <v>193915</v>
      </c>
      <c r="D38" s="204">
        <f>Inputs!D60</f>
        <v>0.1</v>
      </c>
      <c r="E38" s="88">
        <f t="shared" si="1"/>
        <v>19391.5</v>
      </c>
      <c r="F38" s="112"/>
      <c r="G38" s="87"/>
      <c r="H38" s="87"/>
      <c r="I38" s="87"/>
    </row>
    <row r="39" spans="2:10" ht="14" x14ac:dyDescent="0.15">
      <c r="B39" s="3" t="s">
        <v>73</v>
      </c>
      <c r="C39" s="40">
        <f>Inputs!C61</f>
        <v>0</v>
      </c>
      <c r="D39" s="204">
        <f>Inputs!D61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15">
      <c r="B40" s="3" t="s">
        <v>74</v>
      </c>
      <c r="C40" s="40">
        <f>Inputs!C62</f>
        <v>9704</v>
      </c>
      <c r="D40" s="204">
        <f>Inputs!D62</f>
        <v>0.05</v>
      </c>
      <c r="E40" s="88">
        <f t="shared" si="1"/>
        <v>485.20000000000005</v>
      </c>
      <c r="F40" s="112"/>
      <c r="G40" s="87"/>
      <c r="H40" s="87"/>
      <c r="I40" s="87"/>
    </row>
    <row r="41" spans="2:10" ht="15" customHeight="1" x14ac:dyDescent="0.15">
      <c r="B41" s="3" t="s">
        <v>75</v>
      </c>
      <c r="C41" s="40">
        <f>Inputs!C63</f>
        <v>76124</v>
      </c>
      <c r="D41" s="204">
        <f>Inputs!D63</f>
        <v>0.9</v>
      </c>
      <c r="E41" s="88">
        <f t="shared" si="1"/>
        <v>68511.600000000006</v>
      </c>
      <c r="F41" s="112"/>
      <c r="G41" s="87"/>
      <c r="H41" s="87"/>
      <c r="I41" s="87"/>
    </row>
    <row r="42" spans="2:10" ht="15" customHeight="1" x14ac:dyDescent="0.15">
      <c r="B42" s="3" t="s">
        <v>76</v>
      </c>
      <c r="C42" s="40">
        <f>Inputs!C64</f>
        <v>0</v>
      </c>
      <c r="D42" s="204">
        <f>Inputs!D64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10363</v>
      </c>
    </row>
    <row r="43" spans="2:10" ht="15" customHeight="1" x14ac:dyDescent="0.15">
      <c r="C43" s="87"/>
      <c r="D43" s="87"/>
      <c r="E43" s="87"/>
      <c r="F43" s="87"/>
      <c r="G43" s="87"/>
      <c r="H43" s="87"/>
      <c r="I43" s="87"/>
    </row>
    <row r="44" spans="2:10" ht="15" customHeight="1" x14ac:dyDescent="0.15">
      <c r="B44" s="23" t="s">
        <v>77</v>
      </c>
      <c r="C44" s="61">
        <f>SUM(C30:C31)</f>
        <v>405552</v>
      </c>
      <c r="D44" s="62">
        <f>IF(E44=0,0,E44/C44)</f>
        <v>0.18660048526452833</v>
      </c>
      <c r="E44" s="88">
        <f>SUM(E30:E31)</f>
        <v>75676.2</v>
      </c>
      <c r="F44" s="72"/>
      <c r="G44" s="87"/>
    </row>
    <row r="45" spans="2:10" ht="15" customHeight="1" x14ac:dyDescent="0.15">
      <c r="B45" s="23" t="s">
        <v>79</v>
      </c>
      <c r="C45" s="61">
        <f>SUM(C32:C35)</f>
        <v>1500</v>
      </c>
      <c r="D45" s="62">
        <f>IF(E45=0,0,E45/C45)</f>
        <v>0.1</v>
      </c>
      <c r="E45" s="88">
        <f>SUM(E32:E35)</f>
        <v>150</v>
      </c>
      <c r="F45" s="72"/>
      <c r="G45" s="87"/>
    </row>
    <row r="46" spans="2:10" ht="15" customHeight="1" x14ac:dyDescent="0.15">
      <c r="B46" s="23" t="s">
        <v>80</v>
      </c>
      <c r="C46" s="61">
        <f>C36+C37+C38+C39</f>
        <v>193915</v>
      </c>
      <c r="D46" s="62">
        <f>IF(E46=0,0,E46/C46)</f>
        <v>0.1</v>
      </c>
      <c r="E46" s="88">
        <f>E36+E37+E38+E39</f>
        <v>19391.5</v>
      </c>
      <c r="F46" s="87"/>
      <c r="G46" s="87"/>
      <c r="H46" s="23" t="s">
        <v>81</v>
      </c>
      <c r="I46" s="63">
        <f>(E44+E24)/E64</f>
        <v>68.562278302303014</v>
      </c>
      <c r="J46" s="8" t="str">
        <f>IF(I46&lt;1,"Liquidity Problem!","")</f>
        <v/>
      </c>
    </row>
    <row r="47" spans="2:10" ht="15" customHeight="1" x14ac:dyDescent="0.15">
      <c r="B47" s="23" t="s">
        <v>82</v>
      </c>
      <c r="C47" s="61">
        <f>C40+C41+C42</f>
        <v>85828</v>
      </c>
      <c r="D47" s="62">
        <f>IF(E47=0,0,E47/C47)</f>
        <v>0.80389616442186707</v>
      </c>
      <c r="E47" s="88">
        <f>E40+E41+E42</f>
        <v>68996.800000000003</v>
      </c>
      <c r="F47" s="87"/>
      <c r="G47" s="87"/>
      <c r="H47" s="23" t="s">
        <v>83</v>
      </c>
      <c r="I47" s="63">
        <f>(E44+E45+E24+E25)/$I$49</f>
        <v>3.8230087559517614</v>
      </c>
      <c r="J47" s="8" t="str">
        <f>IF(OR(I47&lt;0.5,C49&lt;I49),"Liquidity Issue!","")</f>
        <v/>
      </c>
    </row>
    <row r="48" spans="2:10" ht="15" customHeight="1" thickBot="1" x14ac:dyDescent="0.2">
      <c r="B48" s="80" t="s">
        <v>84</v>
      </c>
      <c r="C48" s="81">
        <f>SUM(C30:C42)</f>
        <v>686795</v>
      </c>
      <c r="D48" s="82">
        <f>E48/C48</f>
        <v>0.23910264343799822</v>
      </c>
      <c r="E48" s="76">
        <f>SUM(E30:E42)</f>
        <v>164214.5</v>
      </c>
      <c r="F48" s="87"/>
      <c r="G48" s="87"/>
      <c r="H48" s="80" t="s">
        <v>85</v>
      </c>
      <c r="I48" s="213">
        <f>Inputs!C75</f>
        <v>30946</v>
      </c>
      <c r="J48" s="8"/>
    </row>
    <row r="49" spans="2:11" ht="15" customHeight="1" thickTop="1" x14ac:dyDescent="0.15">
      <c r="B49" s="3" t="s">
        <v>14</v>
      </c>
      <c r="C49" s="61">
        <f>C28+C48</f>
        <v>3670169</v>
      </c>
      <c r="D49" s="56">
        <f>E49/C49</f>
        <v>0.71672135533813297</v>
      </c>
      <c r="E49" s="88">
        <f>E28+E48</f>
        <v>2630488.5</v>
      </c>
      <c r="F49" s="87"/>
      <c r="G49" s="87"/>
      <c r="H49" s="3" t="s">
        <v>86</v>
      </c>
      <c r="I49" s="52">
        <f>I28+I48</f>
        <v>642877</v>
      </c>
      <c r="J49" s="87"/>
    </row>
    <row r="50" spans="2:11" ht="15" customHeight="1" x14ac:dyDescent="0.15">
      <c r="C50" s="87"/>
      <c r="D50" s="87"/>
      <c r="E50" s="87"/>
      <c r="I50" s="87"/>
    </row>
    <row r="51" spans="2:11" ht="14" x14ac:dyDescent="0.15">
      <c r="B51" s="10" t="s">
        <v>87</v>
      </c>
      <c r="C51" s="31"/>
      <c r="D51" s="18"/>
    </row>
    <row r="52" spans="2:11" ht="14" x14ac:dyDescent="0.15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4" x14ac:dyDescent="0.15">
      <c r="B53" s="3" t="s">
        <v>89</v>
      </c>
      <c r="C53" s="88">
        <f>MAX(D4,0)</f>
        <v>3990</v>
      </c>
      <c r="D53" s="29">
        <f>IF(E53=0, 0,E53/C53)</f>
        <v>1</v>
      </c>
      <c r="E53" s="88">
        <f>IF(C53=0,0,MAX(C53,C53*Dashboard!G23))</f>
        <v>3990</v>
      </c>
      <c r="F53" s="87"/>
      <c r="G53" s="87"/>
      <c r="I53" s="41"/>
      <c r="K53" s="33"/>
    </row>
    <row r="54" spans="2:11" ht="15" customHeight="1" x14ac:dyDescent="0.15">
      <c r="C54" s="87"/>
      <c r="D54" s="87"/>
      <c r="E54" s="87"/>
      <c r="F54" s="87"/>
      <c r="G54" s="87"/>
      <c r="I54" s="87"/>
      <c r="K54" s="33"/>
    </row>
    <row r="55" spans="2:11" ht="14" x14ac:dyDescent="0.15">
      <c r="B55" s="25" t="s">
        <v>154</v>
      </c>
      <c r="C55" s="3"/>
      <c r="E55" s="125"/>
      <c r="F55" s="3"/>
      <c r="G55" s="3"/>
      <c r="I55" s="87"/>
      <c r="K55" s="33"/>
    </row>
    <row r="56" spans="2:11" ht="14" x14ac:dyDescent="0.15">
      <c r="B56" s="20" t="s">
        <v>90</v>
      </c>
      <c r="C56" s="87"/>
      <c r="D56" s="259">
        <f>I15+I34</f>
        <v>33999</v>
      </c>
      <c r="E56" s="257"/>
      <c r="F56" s="3"/>
      <c r="G56" s="3"/>
      <c r="I56" s="56"/>
      <c r="K56" s="33"/>
    </row>
    <row r="57" spans="2:11" ht="14" x14ac:dyDescent="0.15">
      <c r="B57" s="20" t="s">
        <v>91</v>
      </c>
      <c r="C57" s="87"/>
      <c r="D57" s="258">
        <f>Inputs!C77</f>
        <v>0</v>
      </c>
      <c r="E57" s="257"/>
      <c r="G57" s="87"/>
      <c r="I57" s="87"/>
      <c r="K57" s="33" t="s">
        <v>92</v>
      </c>
    </row>
    <row r="58" spans="2:11" ht="12.75" customHeight="1" x14ac:dyDescent="0.15">
      <c r="B58" s="20" t="s">
        <v>93</v>
      </c>
      <c r="C58" s="87"/>
      <c r="D58" s="258">
        <f>Inputs!C78</f>
        <v>0</v>
      </c>
      <c r="E58" s="257"/>
      <c r="F58" s="3"/>
      <c r="G58" s="3"/>
      <c r="I58" s="87"/>
      <c r="K58" s="33"/>
    </row>
    <row r="59" spans="2:11" ht="15" customHeight="1" x14ac:dyDescent="0.15">
      <c r="C59" s="87"/>
      <c r="D59" s="87"/>
      <c r="E59" s="87"/>
      <c r="F59" s="87"/>
      <c r="G59" s="87"/>
      <c r="I59" s="87"/>
      <c r="K59" s="33"/>
    </row>
    <row r="60" spans="2:11" ht="14" x14ac:dyDescent="0.15">
      <c r="B60" s="25" t="s">
        <v>157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15">
      <c r="B61" s="19" t="s">
        <v>95</v>
      </c>
      <c r="C61" s="68">
        <f>C14+C15+(C19*G19)+(C20*G20)+C31+C32+(C35*G35)+(C36*G36)+(C37*G37)</f>
        <v>380678</v>
      </c>
      <c r="D61" s="56">
        <f t="shared" ref="D61:D70" si="2">IF(E61=0,0,E61/C61)</f>
        <v>0.53155606575636105</v>
      </c>
      <c r="E61" s="52">
        <f>E14+E15+(E19*G19)+(E20*G20)+E31+E32+(E35*G35)+(E36*G36)+(E37*G37)</f>
        <v>202351.7</v>
      </c>
      <c r="F61" s="87"/>
      <c r="G61" s="87"/>
      <c r="I61" s="87"/>
      <c r="K61" s="33"/>
    </row>
    <row r="62" spans="2:11" ht="14" x14ac:dyDescent="0.15">
      <c r="B62" s="35" t="s">
        <v>143</v>
      </c>
      <c r="C62" s="117">
        <f>C11+C30</f>
        <v>2664732</v>
      </c>
      <c r="D62" s="107">
        <f t="shared" si="2"/>
        <v>0.80562559386835164</v>
      </c>
      <c r="E62" s="118">
        <f>E11+E30</f>
        <v>2146776.3000000003</v>
      </c>
      <c r="F62" s="87"/>
      <c r="G62" s="87"/>
      <c r="I62" s="87"/>
      <c r="K62" s="33"/>
    </row>
    <row r="63" spans="2:11" ht="14" x14ac:dyDescent="0.15">
      <c r="B63" s="19" t="s">
        <v>145</v>
      </c>
      <c r="C63" s="68">
        <f>C61+C62</f>
        <v>3045410</v>
      </c>
      <c r="D63" s="29">
        <f t="shared" si="2"/>
        <v>0.77136674536433536</v>
      </c>
      <c r="E63" s="61">
        <f>E61+E62</f>
        <v>2349128.0000000005</v>
      </c>
      <c r="F63" s="87"/>
      <c r="G63" s="87"/>
      <c r="I63" s="87"/>
      <c r="K63" s="33"/>
    </row>
    <row r="64" spans="2:11" thickBot="1" x14ac:dyDescent="0.2">
      <c r="B64" s="121" t="s">
        <v>155</v>
      </c>
      <c r="C64" s="214"/>
      <c r="D64" s="214"/>
      <c r="E64" s="69">
        <f>D56+D57+D58</f>
        <v>33999</v>
      </c>
      <c r="F64" s="87"/>
      <c r="G64" s="87"/>
      <c r="I64" s="87"/>
      <c r="K64" s="33"/>
    </row>
    <row r="65" spans="1:11" thickTop="1" x14ac:dyDescent="0.15">
      <c r="B65" s="3" t="s">
        <v>146</v>
      </c>
      <c r="C65" s="68">
        <f>C63-E64</f>
        <v>3011411</v>
      </c>
      <c r="D65" s="29">
        <f t="shared" si="2"/>
        <v>0.76878546302713258</v>
      </c>
      <c r="E65" s="61">
        <f>E63-E64</f>
        <v>2315129.0000000005</v>
      </c>
      <c r="F65" s="87"/>
      <c r="G65" s="87"/>
      <c r="I65" s="87"/>
      <c r="K65" s="33"/>
    </row>
    <row r="66" spans="1:11" ht="14" x14ac:dyDescent="0.15">
      <c r="B66" s="3"/>
      <c r="C66" s="68"/>
      <c r="D66" s="29"/>
      <c r="E66" s="61"/>
      <c r="F66" s="87"/>
      <c r="G66" s="87"/>
      <c r="I66" s="87"/>
      <c r="K66" s="33"/>
    </row>
    <row r="67" spans="1:11" ht="14" x14ac:dyDescent="0.15">
      <c r="B67" s="25" t="s">
        <v>158</v>
      </c>
      <c r="C67" s="3"/>
      <c r="D67" s="75" t="s">
        <v>94</v>
      </c>
      <c r="E67" s="61"/>
      <c r="F67" s="87"/>
      <c r="G67" s="87"/>
      <c r="I67" s="87"/>
      <c r="K67" s="33"/>
    </row>
    <row r="68" spans="1:11" ht="14" x14ac:dyDescent="0.15">
      <c r="B68" s="19" t="s">
        <v>144</v>
      </c>
      <c r="C68" s="68">
        <f>C49-C63</f>
        <v>624759</v>
      </c>
      <c r="D68" s="29">
        <f t="shared" si="2"/>
        <v>0.45035045513549948</v>
      </c>
      <c r="E68" s="68">
        <f>E49-E63</f>
        <v>281360.49999999953</v>
      </c>
      <c r="F68" s="87"/>
      <c r="G68" s="87"/>
      <c r="I68" s="87"/>
      <c r="K68" s="33"/>
    </row>
    <row r="69" spans="1:11" thickBot="1" x14ac:dyDescent="0.2">
      <c r="B69" s="121" t="s">
        <v>156</v>
      </c>
      <c r="C69" s="214"/>
      <c r="D69" s="214"/>
      <c r="E69" s="126">
        <f>I49-E64</f>
        <v>608878</v>
      </c>
      <c r="F69" s="87"/>
      <c r="G69" s="87"/>
      <c r="I69" s="87"/>
      <c r="K69" s="33"/>
    </row>
    <row r="70" spans="1:11" thickTop="1" x14ac:dyDescent="0.15">
      <c r="B70" s="19" t="s">
        <v>147</v>
      </c>
      <c r="C70" s="68">
        <f>C68-E69</f>
        <v>15881</v>
      </c>
      <c r="D70" s="29">
        <f t="shared" si="2"/>
        <v>-20.62322901580508</v>
      </c>
      <c r="E70" s="68">
        <f>E68-E69</f>
        <v>-327517.50000000047</v>
      </c>
      <c r="F70" s="87"/>
      <c r="G70" s="87"/>
      <c r="I70" s="87"/>
      <c r="K70" s="33"/>
    </row>
    <row r="72" spans="1:11" ht="15" customHeight="1" x14ac:dyDescent="0.15">
      <c r="A72" s="5"/>
      <c r="B72" s="106" t="s">
        <v>130</v>
      </c>
      <c r="C72" s="262">
        <f>Data!C5</f>
        <v>45291</v>
      </c>
      <c r="D72" s="262"/>
      <c r="E72" s="260" t="s">
        <v>214</v>
      </c>
      <c r="F72" s="260"/>
      <c r="H72" s="260" t="s">
        <v>213</v>
      </c>
      <c r="I72" s="260"/>
      <c r="K72" s="50" t="s">
        <v>8</v>
      </c>
    </row>
    <row r="73" spans="1:11" ht="15" customHeight="1" x14ac:dyDescent="0.15">
      <c r="B73" s="12" t="str">
        <f>"(Numbers in "&amp;Data!C4&amp;Dashboard!G6&amp;")"</f>
        <v>(Numbers in 1000CNY)</v>
      </c>
      <c r="C73" s="261" t="s">
        <v>101</v>
      </c>
      <c r="D73" s="261"/>
      <c r="E73" s="263" t="s">
        <v>102</v>
      </c>
      <c r="F73" s="261"/>
      <c r="H73" s="263" t="s">
        <v>102</v>
      </c>
      <c r="I73" s="261"/>
      <c r="K73" s="24"/>
    </row>
    <row r="74" spans="1:11" ht="15" customHeight="1" x14ac:dyDescent="0.15">
      <c r="B74" s="3" t="s">
        <v>129</v>
      </c>
      <c r="C74" s="77">
        <f>Data!C6</f>
        <v>1615585</v>
      </c>
      <c r="D74" s="215"/>
      <c r="E74" s="202">
        <f>H74</f>
        <v>1615585</v>
      </c>
      <c r="F74" s="215"/>
      <c r="H74" s="202">
        <f>C74</f>
        <v>1615585</v>
      </c>
      <c r="I74" s="215"/>
      <c r="K74" s="24"/>
    </row>
    <row r="75" spans="1:11" ht="15" customHeight="1" x14ac:dyDescent="0.15">
      <c r="B75" s="104" t="s">
        <v>106</v>
      </c>
      <c r="C75" s="77">
        <f>Data!C8</f>
        <v>897327</v>
      </c>
      <c r="D75" s="161">
        <f>C75/$C$74</f>
        <v>0.55541924442229906</v>
      </c>
      <c r="E75" s="202">
        <f>E74*D75</f>
        <v>897327</v>
      </c>
      <c r="F75" s="162">
        <f>E75/E74</f>
        <v>0.55541924442229906</v>
      </c>
      <c r="H75" s="202">
        <f>H74*D75</f>
        <v>897327</v>
      </c>
      <c r="I75" s="162">
        <f>H75/$H$74</f>
        <v>0.55541924442229906</v>
      </c>
      <c r="K75" s="24"/>
    </row>
    <row r="76" spans="1:11" ht="15" customHeight="1" x14ac:dyDescent="0.15">
      <c r="B76" s="35" t="s">
        <v>96</v>
      </c>
      <c r="C76" s="163">
        <f>C74-C75</f>
        <v>718258</v>
      </c>
      <c r="D76" s="216"/>
      <c r="E76" s="164">
        <f>E74-E75</f>
        <v>718258</v>
      </c>
      <c r="F76" s="216"/>
      <c r="H76" s="164">
        <f>H74-H75</f>
        <v>718258</v>
      </c>
      <c r="I76" s="216"/>
      <c r="K76" s="24"/>
    </row>
    <row r="77" spans="1:11" ht="15" customHeight="1" x14ac:dyDescent="0.15">
      <c r="B77" s="104" t="s">
        <v>260</v>
      </c>
      <c r="C77" s="77">
        <f>Data!C10+MAX(Data!C11,0)</f>
        <v>613104</v>
      </c>
      <c r="D77" s="161">
        <f>C77/$C$74</f>
        <v>0.37949349616392825</v>
      </c>
      <c r="E77" s="202">
        <f>E74*I77</f>
        <v>613104</v>
      </c>
      <c r="F77" s="162">
        <f>E77/E74</f>
        <v>0.37949349616392825</v>
      </c>
      <c r="H77" s="202">
        <f>H74*D77</f>
        <v>613104</v>
      </c>
      <c r="I77" s="162">
        <f>H77/$H$74</f>
        <v>0.37949349616392825</v>
      </c>
      <c r="K77" s="24"/>
    </row>
    <row r="78" spans="1:11" ht="15" customHeight="1" x14ac:dyDescent="0.15">
      <c r="B78" s="35" t="s">
        <v>244</v>
      </c>
      <c r="C78" s="163">
        <f>C76-C77</f>
        <v>105154</v>
      </c>
      <c r="D78" s="216"/>
      <c r="E78" s="164">
        <f>E76-E77</f>
        <v>105154</v>
      </c>
      <c r="F78" s="216"/>
      <c r="H78" s="164">
        <f>H76-H77</f>
        <v>105154</v>
      </c>
      <c r="I78" s="216"/>
      <c r="K78" s="24"/>
    </row>
    <row r="79" spans="1:11" ht="15" customHeight="1" x14ac:dyDescent="0.15">
      <c r="B79" s="104" t="s">
        <v>124</v>
      </c>
      <c r="C79" s="77">
        <f>MAX(Data!C17,0)</f>
        <v>1003</v>
      </c>
      <c r="D79" s="161">
        <f>C79/$C$74</f>
        <v>6.208277497005729E-4</v>
      </c>
      <c r="E79" s="183">
        <f>E74*F79</f>
        <v>1003.0000000000001</v>
      </c>
      <c r="F79" s="162">
        <f t="shared" ref="F79:F84" si="3">I79</f>
        <v>6.208277497005729E-4</v>
      </c>
      <c r="H79" s="202">
        <f>H74*D79</f>
        <v>1003.0000000000001</v>
      </c>
      <c r="I79" s="162">
        <f>H79/$H$74</f>
        <v>6.208277497005729E-4</v>
      </c>
      <c r="K79" s="24"/>
    </row>
    <row r="80" spans="1:11" ht="15" customHeight="1" x14ac:dyDescent="0.15">
      <c r="B80" s="28" t="s">
        <v>259</v>
      </c>
      <c r="C80" s="77">
        <f>MAX(MAX(Data!C21,0)-MAX(Data!C19,0),0)</f>
        <v>0</v>
      </c>
      <c r="D80" s="161">
        <f>C80/$C$74</f>
        <v>0</v>
      </c>
      <c r="E80" s="202">
        <f>E74*I80</f>
        <v>0</v>
      </c>
      <c r="F80" s="162">
        <f>E80/E74</f>
        <v>0</v>
      </c>
      <c r="H80" s="202">
        <f>H74*D80</f>
        <v>0</v>
      </c>
      <c r="I80" s="162">
        <f>H80/$H$74</f>
        <v>0</v>
      </c>
      <c r="K80" s="24"/>
    </row>
    <row r="81" spans="1:11" ht="15" customHeight="1" x14ac:dyDescent="0.15">
      <c r="B81" s="28" t="s">
        <v>110</v>
      </c>
      <c r="C81" s="77">
        <f>MAX(Data!C16,0)</f>
        <v>0</v>
      </c>
      <c r="D81" s="161">
        <f>C81/$C$74</f>
        <v>0</v>
      </c>
      <c r="E81" s="183">
        <f>E74*F81</f>
        <v>0</v>
      </c>
      <c r="F81" s="162">
        <f t="shared" si="3"/>
        <v>0</v>
      </c>
      <c r="H81" s="202">
        <f>H74*D81</f>
        <v>0</v>
      </c>
      <c r="I81" s="162">
        <f>H81/$H$74</f>
        <v>0</v>
      </c>
      <c r="K81" s="184" t="s">
        <v>134</v>
      </c>
    </row>
    <row r="82" spans="1:11" ht="15" customHeight="1" x14ac:dyDescent="0.15">
      <c r="B82" s="73" t="s">
        <v>177</v>
      </c>
      <c r="C82" s="77">
        <f>MAX(Data!C12,0)</f>
        <v>2932</v>
      </c>
      <c r="D82" s="161">
        <f>C82/$C$74</f>
        <v>1.8148224946381651E-3</v>
      </c>
      <c r="E82" s="183">
        <f>E74*F82</f>
        <v>2932</v>
      </c>
      <c r="F82" s="162">
        <f t="shared" si="3"/>
        <v>1.8148224946381651E-3</v>
      </c>
      <c r="H82" s="202">
        <f>H74*D82</f>
        <v>2932</v>
      </c>
      <c r="I82" s="162">
        <f>H82/$H$74</f>
        <v>1.8148224946381651E-3</v>
      </c>
      <c r="K82" s="24"/>
    </row>
    <row r="83" spans="1:11" ht="15" customHeight="1" thickBot="1" x14ac:dyDescent="0.2">
      <c r="B83" s="105" t="s">
        <v>128</v>
      </c>
      <c r="C83" s="165">
        <f>C78-C79-C80-C81-C82</f>
        <v>101219</v>
      </c>
      <c r="D83" s="166">
        <f>C83/$C$74</f>
        <v>6.2651609169433978E-2</v>
      </c>
      <c r="E83" s="167">
        <f>E78-E79-E80-E81-E82</f>
        <v>101219</v>
      </c>
      <c r="F83" s="166">
        <f>E83/E74</f>
        <v>6.2651609169433978E-2</v>
      </c>
      <c r="H83" s="167">
        <f>H78-H79-H80-H81-H82</f>
        <v>101219</v>
      </c>
      <c r="I83" s="166">
        <f>H83/$H$74</f>
        <v>6.2651609169433978E-2</v>
      </c>
      <c r="K83" s="24"/>
    </row>
    <row r="84" spans="1:11" ht="15" customHeight="1" thickTop="1" x14ac:dyDescent="0.15">
      <c r="B84" s="28" t="s">
        <v>97</v>
      </c>
      <c r="C84" s="217"/>
      <c r="D84" s="161">
        <f>I84</f>
        <v>0.25</v>
      </c>
      <c r="E84" s="218"/>
      <c r="F84" s="182">
        <f t="shared" si="3"/>
        <v>0.25</v>
      </c>
      <c r="H84" s="218"/>
      <c r="I84" s="208">
        <f>Inputs!C16</f>
        <v>0.25</v>
      </c>
      <c r="K84" s="24"/>
    </row>
    <row r="85" spans="1:11" ht="15" customHeight="1" x14ac:dyDescent="0.15">
      <c r="B85" s="86" t="s">
        <v>169</v>
      </c>
      <c r="C85" s="163">
        <f>C83*(1-I84)</f>
        <v>75914.25</v>
      </c>
      <c r="D85" s="168">
        <f>C85/$C$74</f>
        <v>4.6988706877075487E-2</v>
      </c>
      <c r="E85" s="169">
        <f>E83*(1-F84)</f>
        <v>75914.25</v>
      </c>
      <c r="F85" s="168">
        <f>E85/E74</f>
        <v>4.6988706877075487E-2</v>
      </c>
      <c r="H85" s="169">
        <f>H83*(1-I84)</f>
        <v>75914.25</v>
      </c>
      <c r="I85" s="168">
        <f>H85/$H$74</f>
        <v>4.6988706877075487E-2</v>
      </c>
      <c r="K85" s="24"/>
    </row>
    <row r="86" spans="1:11" ht="15" customHeight="1" x14ac:dyDescent="0.15">
      <c r="B86" s="87" t="s">
        <v>165</v>
      </c>
      <c r="C86" s="170">
        <f>C85*Data!C4/Common_Shares</f>
        <v>5.6935680383039949E-2</v>
      </c>
      <c r="D86" s="215"/>
      <c r="E86" s="171">
        <f>E85*Data!C4/Common_Shares</f>
        <v>5.6935680383039949E-2</v>
      </c>
      <c r="F86" s="215"/>
      <c r="H86" s="171">
        <f>H85*Data!C4/Common_Shares</f>
        <v>5.6935680383039949E-2</v>
      </c>
      <c r="I86" s="215"/>
      <c r="K86" s="24"/>
    </row>
    <row r="87" spans="1:11" ht="15" customHeight="1" x14ac:dyDescent="0.15">
      <c r="B87" s="87" t="s">
        <v>216</v>
      </c>
      <c r="C87" s="162">
        <f>C86*Exchange_Rate/Dashboard!G3</f>
        <v>3.2193997847263726E-2</v>
      </c>
      <c r="D87" s="215"/>
      <c r="E87" s="233">
        <f>E86*Exchange_Rate/Dashboard!G3</f>
        <v>3.2193997847263726E-2</v>
      </c>
      <c r="F87" s="215"/>
      <c r="H87" s="233">
        <f>H86*Exchange_Rate/Dashboard!G3</f>
        <v>3.2193997847263726E-2</v>
      </c>
      <c r="I87" s="215"/>
      <c r="K87" s="24"/>
    </row>
    <row r="88" spans="1:11" ht="15" customHeight="1" x14ac:dyDescent="0.15">
      <c r="B88" s="86" t="s">
        <v>215</v>
      </c>
      <c r="C88" s="172">
        <f>Inputs!F5</f>
        <v>0.1178</v>
      </c>
      <c r="D88" s="168">
        <f>C88/C86</f>
        <v>2.0690013574526525</v>
      </c>
      <c r="E88" s="201">
        <f>H88</f>
        <v>0.1178</v>
      </c>
      <c r="F88" s="168">
        <f>E88/E86</f>
        <v>2.0690013574526525</v>
      </c>
      <c r="H88" s="173">
        <f>Inputs!F6</f>
        <v>0.1178</v>
      </c>
      <c r="I88" s="168">
        <f>H88/H86</f>
        <v>2.0690013574526525</v>
      </c>
      <c r="K88" s="24"/>
    </row>
    <row r="89" spans="1:11" ht="15" customHeight="1" x14ac:dyDescent="0.15">
      <c r="B89" s="87" t="s">
        <v>231</v>
      </c>
      <c r="C89" s="162">
        <f>C88*Exchange_Rate/Dashboard!G3</f>
        <v>6.660942524781642E-2</v>
      </c>
      <c r="D89" s="215"/>
      <c r="E89" s="162">
        <f>E88*Exchange_Rate/Dashboard!G3</f>
        <v>6.660942524781642E-2</v>
      </c>
      <c r="F89" s="215"/>
      <c r="H89" s="162">
        <f>H88*Exchange_Rate/Dashboard!G3</f>
        <v>6.660942524781642E-2</v>
      </c>
      <c r="I89" s="215"/>
      <c r="K89" s="24"/>
    </row>
    <row r="90" spans="1:11" ht="15" customHeight="1" x14ac:dyDescent="0.15">
      <c r="B90" s="28"/>
      <c r="C90" s="88"/>
    </row>
    <row r="91" spans="1:11" ht="15" customHeight="1" x14ac:dyDescent="0.15">
      <c r="A91" s="5"/>
      <c r="B91" s="106" t="s">
        <v>159</v>
      </c>
      <c r="C91" s="21"/>
      <c r="K91" s="50" t="s">
        <v>136</v>
      </c>
    </row>
    <row r="92" spans="1:11" ht="15" customHeight="1" x14ac:dyDescent="0.15">
      <c r="B92" s="10" t="s">
        <v>160</v>
      </c>
      <c r="C92" s="204" t="str">
        <f>Inputs!C15</f>
        <v>CN</v>
      </c>
      <c r="D92" s="10" t="s">
        <v>161</v>
      </c>
      <c r="E92" s="260" t="s">
        <v>214</v>
      </c>
      <c r="F92" s="260"/>
      <c r="G92" s="87"/>
      <c r="H92" s="260" t="s">
        <v>213</v>
      </c>
      <c r="I92" s="260"/>
      <c r="K92" s="24"/>
    </row>
    <row r="93" spans="1:11" ht="15" customHeight="1" x14ac:dyDescent="0.15">
      <c r="B93" s="1" t="str">
        <f>C92&amp;" Required Return"</f>
        <v>CN Required Return</v>
      </c>
      <c r="C93" s="136">
        <f>IF(C92="CN",Dashboard!C17,IF(C92="US",Dashboard!C12,IF(C92="HK",Dashboard!D12,Dashboard!D17)))</f>
        <v>7.1999999999999995E-2</v>
      </c>
      <c r="D93" s="203">
        <v>5</v>
      </c>
      <c r="E93" s="87" t="s">
        <v>217</v>
      </c>
      <c r="F93" s="145">
        <f>FV(E87,D93,0,-(E86/C93))</f>
        <v>0.92652824906259434</v>
      </c>
      <c r="H93" s="87" t="s">
        <v>217</v>
      </c>
      <c r="I93" s="145">
        <f>FV(H87,D93,0,-(H86/C93))</f>
        <v>0.92652824906259434</v>
      </c>
      <c r="K93" s="24"/>
    </row>
    <row r="94" spans="1:11" ht="15" customHeight="1" x14ac:dyDescent="0.15">
      <c r="B94" s="1" t="s">
        <v>219</v>
      </c>
      <c r="C94" s="185">
        <f>Dashboard!G20</f>
        <v>0.15</v>
      </c>
      <c r="D94" s="146"/>
      <c r="E94" s="87" t="s">
        <v>218</v>
      </c>
      <c r="F94" s="145">
        <f>FV(E89,D93,0,-(E88/C93))</f>
        <v>2.25860288927348</v>
      </c>
      <c r="H94" s="87" t="s">
        <v>218</v>
      </c>
      <c r="I94" s="145">
        <f>FV(H89,D93,0,-(H88/C93))</f>
        <v>2.25860288927348</v>
      </c>
      <c r="K94" s="24"/>
    </row>
    <row r="95" spans="1:11" ht="15" customHeight="1" x14ac:dyDescent="0.15">
      <c r="E95" s="24"/>
      <c r="K95" s="24"/>
    </row>
    <row r="96" spans="1:11" ht="15" customHeight="1" x14ac:dyDescent="0.15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222</v>
      </c>
      <c r="E96" s="186" t="str">
        <f>E72</f>
        <v>Pessimistic Case</v>
      </c>
      <c r="F96" s="240" t="s">
        <v>249</v>
      </c>
      <c r="H96" s="186" t="str">
        <f>H72</f>
        <v>Base Case</v>
      </c>
      <c r="I96" s="124" t="s">
        <v>221</v>
      </c>
      <c r="K96" s="24"/>
    </row>
    <row r="97" spans="2:11" ht="15" customHeight="1" x14ac:dyDescent="0.15">
      <c r="B97" s="1" t="s">
        <v>133</v>
      </c>
      <c r="C97" s="91">
        <f>H97*Common_Shares/Data!C4</f>
        <v>942426.05563925544</v>
      </c>
      <c r="D97" s="219"/>
      <c r="E97" s="123">
        <f>PV(C93,D93,0,-F93)*Exchange_Rate</f>
        <v>0.70681945337700991</v>
      </c>
      <c r="F97" s="219"/>
      <c r="H97" s="123">
        <f>PV(C93,D93,0,-I93)*Exchange_Rate</f>
        <v>0.70681945337700991</v>
      </c>
      <c r="I97" s="221"/>
      <c r="K97" s="24"/>
    </row>
    <row r="98" spans="2:11" ht="15" customHeight="1" x14ac:dyDescent="0.15">
      <c r="B98" s="28" t="s">
        <v>148</v>
      </c>
      <c r="C98" s="91">
        <f>E53*Exchange_Rate</f>
        <v>4309.2000000000007</v>
      </c>
      <c r="D98" s="219"/>
      <c r="E98" s="219"/>
      <c r="F98" s="219"/>
      <c r="H98" s="123">
        <f>C98*Data!$C$4/Common_Shares</f>
        <v>3.2318995960125513E-3</v>
      </c>
      <c r="I98" s="221"/>
      <c r="K98" s="24"/>
    </row>
    <row r="99" spans="2:11" ht="15" customHeight="1" thickBot="1" x14ac:dyDescent="0.2">
      <c r="B99" s="105" t="s">
        <v>149</v>
      </c>
      <c r="C99" s="108">
        <f>(E65-IF(E70&lt;0,MIN(E65,ABS(E70)),0))*Exchange_Rate</f>
        <v>2146620.42</v>
      </c>
      <c r="D99" s="220"/>
      <c r="E99" s="147">
        <f>IF(H99&gt;0,H99*0.85,H99*1.15)</f>
        <v>1.3684703466912065</v>
      </c>
      <c r="F99" s="220"/>
      <c r="H99" s="147">
        <f>C99*Data!$C$4/Common_Shares</f>
        <v>1.6099651137543607</v>
      </c>
      <c r="I99" s="222"/>
      <c r="K99" s="24"/>
    </row>
    <row r="100" spans="2:11" ht="15" customHeight="1" thickTop="1" x14ac:dyDescent="0.15">
      <c r="B100" s="1" t="s">
        <v>115</v>
      </c>
      <c r="C100" s="91">
        <f>C97-C98+$C$99</f>
        <v>3084737.2756392555</v>
      </c>
      <c r="D100" s="109">
        <f>F100*(1-C94)</f>
        <v>1.863884491403214</v>
      </c>
      <c r="E100" s="109">
        <f>MAX(E97-H98+E99,0)</f>
        <v>2.072057900472204</v>
      </c>
      <c r="F100" s="109">
        <f>(E100+H100)/2</f>
        <v>2.1928052840037813</v>
      </c>
      <c r="H100" s="109">
        <f>MAX(C100*Data!$C$4/Common_Shares,0)</f>
        <v>2.3135526675353582</v>
      </c>
      <c r="I100" s="109">
        <f>F100*1.25</f>
        <v>2.7410066050047268</v>
      </c>
      <c r="K100" s="24"/>
    </row>
    <row r="101" spans="2:11" ht="15" customHeight="1" x14ac:dyDescent="0.15">
      <c r="E101" s="24"/>
      <c r="K101" s="24"/>
    </row>
    <row r="102" spans="2:11" ht="15" customHeight="1" x14ac:dyDescent="0.15">
      <c r="B102" s="10" t="s">
        <v>167</v>
      </c>
      <c r="C102" s="127" t="str">
        <f>C96</f>
        <v>HKD</v>
      </c>
      <c r="D102" s="124" t="s">
        <v>222</v>
      </c>
      <c r="E102" s="186" t="str">
        <f>E96</f>
        <v>Pessimistic Case</v>
      </c>
      <c r="F102" s="240" t="s">
        <v>249</v>
      </c>
      <c r="H102" s="186" t="str">
        <f>H96</f>
        <v>Base Case</v>
      </c>
      <c r="I102" s="124" t="s">
        <v>221</v>
      </c>
      <c r="K102" s="24"/>
    </row>
    <row r="103" spans="2:11" ht="15" customHeight="1" x14ac:dyDescent="0.15">
      <c r="B103" s="1" t="s">
        <v>166</v>
      </c>
      <c r="C103" s="91">
        <f>H103*Common_Shares/Data!C4</f>
        <v>2297357.0577551061</v>
      </c>
      <c r="D103" s="109">
        <f>F103*(1-C94)</f>
        <v>1.4645649412482622</v>
      </c>
      <c r="E103" s="123">
        <f>PV(C93,D93,0,-F94)*Exchange_Rate</f>
        <v>1.7230175779391321</v>
      </c>
      <c r="F103" s="109">
        <f>(E103+H103)/2</f>
        <v>1.7230175779391321</v>
      </c>
      <c r="H103" s="123">
        <f>PV(C93,D93,0,-I94)*Exchange_Rate</f>
        <v>1.7230175779391321</v>
      </c>
      <c r="I103" s="109">
        <f>F103*1.25</f>
        <v>2.153771972423915</v>
      </c>
      <c r="K103" s="24"/>
    </row>
    <row r="104" spans="2:11" ht="15" customHeight="1" x14ac:dyDescent="0.15">
      <c r="E104" s="24"/>
      <c r="K104" s="24"/>
    </row>
    <row r="105" spans="2:11" ht="15" customHeight="1" x14ac:dyDescent="0.15">
      <c r="B105" s="10" t="s">
        <v>205</v>
      </c>
      <c r="C105" s="127" t="str">
        <f>C102</f>
        <v>HKD</v>
      </c>
      <c r="D105" s="124" t="s">
        <v>222</v>
      </c>
      <c r="E105" s="187" t="str">
        <f>E96</f>
        <v>Pessimistic Case</v>
      </c>
      <c r="F105" s="240" t="s">
        <v>249</v>
      </c>
      <c r="H105" s="187" t="str">
        <f>H96</f>
        <v>Base Case</v>
      </c>
      <c r="I105" s="124" t="s">
        <v>221</v>
      </c>
      <c r="K105" s="24"/>
    </row>
    <row r="106" spans="2:11" ht="15" customHeight="1" x14ac:dyDescent="0.15">
      <c r="B106" s="1" t="s">
        <v>206</v>
      </c>
      <c r="C106" s="91">
        <f>E106*Common_Shares/Data!C4</f>
        <v>2530050.6351971808</v>
      </c>
      <c r="D106" s="109">
        <f>(D100+D103)/2</f>
        <v>1.6642247163257382</v>
      </c>
      <c r="E106" s="123">
        <f>(E100+E103)/2</f>
        <v>1.897537739205668</v>
      </c>
      <c r="F106" s="109">
        <f>(F100+F103)/2</f>
        <v>1.9579114309714567</v>
      </c>
      <c r="H106" s="123">
        <f>(H100+H103)/2</f>
        <v>2.0182851227372449</v>
      </c>
      <c r="I106" s="123">
        <f>(I100+I103)/2</f>
        <v>2.4473892887143212</v>
      </c>
      <c r="K106" s="24"/>
    </row>
    <row r="107" spans="2:11" ht="15" customHeight="1" x14ac:dyDescent="0.15">
      <c r="K107" s="24"/>
    </row>
    <row r="108" spans="2:11" ht="15" customHeight="1" x14ac:dyDescent="0.15">
      <c r="B108" s="10" t="s">
        <v>170</v>
      </c>
      <c r="C108" s="188" t="s">
        <v>256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6" priority="10">
      <formula>LEN(TRIM(C86))=0</formula>
    </cfRule>
  </conditionalFormatting>
  <conditionalFormatting sqref="C108">
    <cfRule type="containsBlanks" dxfId="5" priority="7">
      <formula>LEN(TRIM(C108))=0</formula>
    </cfRule>
  </conditionalFormatting>
  <conditionalFormatting sqref="E74:E82">
    <cfRule type="containsBlanks" dxfId="4" priority="1">
      <formula>LEN(TRIM(E74))=0</formula>
    </cfRule>
  </conditionalFormatting>
  <conditionalFormatting sqref="E88">
    <cfRule type="containsBlanks" dxfId="3" priority="4">
      <formula>LEN(TRIM(E88))=0</formula>
    </cfRule>
  </conditionalFormatting>
  <conditionalFormatting sqref="F84">
    <cfRule type="containsBlanks" dxfId="2" priority="5">
      <formula>LEN(TRIM(F84))=0</formula>
    </cfRule>
  </conditionalFormatting>
  <conditionalFormatting sqref="H74:H82 I84">
    <cfRule type="containsBlanks" dxfId="1" priority="14">
      <formula>LEN(TRIM(H74))=0</formula>
    </cfRule>
  </conditionalFormatting>
  <conditionalFormatting sqref="H88">
    <cfRule type="containsBlanks" dxfId="0" priority="9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2024-11-21T13:20:10Z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