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8A2B70C7-B7AB-774B-9C7F-69DEE4632D7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L22" i="2"/>
  <c r="M22" i="2"/>
  <c r="C22" i="2"/>
  <c r="D47" i="2"/>
  <c r="E47" i="2"/>
  <c r="F47" i="2"/>
  <c r="G47" i="2"/>
  <c r="H47" i="2"/>
  <c r="I47" i="2"/>
  <c r="J47" i="2"/>
  <c r="K47" i="2"/>
  <c r="L47" i="2"/>
  <c r="M47" i="2"/>
  <c r="C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M14" i="2" l="1"/>
  <c r="M46" i="2"/>
  <c r="J46" i="2"/>
  <c r="J14" i="2"/>
  <c r="L46" i="2"/>
  <c r="L14" i="2"/>
  <c r="K15" i="2" s="1"/>
  <c r="K46" i="2"/>
  <c r="K14" i="2"/>
  <c r="J15" i="2" s="1"/>
  <c r="I14" i="2"/>
  <c r="I46" i="2"/>
  <c r="H46" i="2"/>
  <c r="H14" i="2"/>
  <c r="F3" i="2" s="1"/>
  <c r="F46" i="2"/>
  <c r="F14" i="2"/>
  <c r="G46" i="2"/>
  <c r="G14" i="2"/>
  <c r="E14" i="2"/>
  <c r="E46" i="2"/>
  <c r="C46" i="2"/>
  <c r="D14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L7" i="2"/>
  <c r="C7" i="2"/>
  <c r="M18" i="2"/>
  <c r="E7" i="2"/>
  <c r="C18" i="2"/>
  <c r="D9" i="2"/>
  <c r="H7" i="2"/>
  <c r="H9" i="2"/>
  <c r="K18" i="2"/>
  <c r="I18" i="2"/>
  <c r="G7" i="2"/>
  <c r="G9" i="2"/>
  <c r="K7" i="2"/>
  <c r="C9" i="2"/>
  <c r="C14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7" i="3"/>
  <c r="D103" i="3"/>
  <c r="I103" i="3"/>
  <c r="H53" i="2"/>
  <c r="D77" i="3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<sst xmlns="http://schemas.openxmlformats.org/spreadsheetml/2006/main" count="371" uniqueCount="266">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</sst>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9" sqref="F19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258</v>
      </c>
      <c r="E5" s="228">
        <f>C18</f>
        <v>45381</v>
      </c>
      <c r="F5" s="229"/>
    </row>
    <row r="6" spans="1:6" ht="14" x14ac:dyDescent="0.15">
      <c r="B6" s="141" t="s">
        <v>168</v>
      </c>
      <c r="C6" s="193">
        <v>45593</v>
      </c>
      <c r="E6" s="230" t="s">
        <v>213</v>
      </c>
      <c r="F6" s="229"/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259</v>
      </c>
    </row>
    <row r="10" spans="1:6" ht="14" x14ac:dyDescent="0.15">
      <c r="B10" s="140" t="s">
        <v>226</v>
      </c>
      <c r="C10" s="197">
        <v>587107850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45381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3" sqref="B2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15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 t="e">
        <f>Fin_Analysis!I75</f>
        <v>#VALUE!</v>
      </c>
      <c r="F20" s="87" t="s">
        <v>219</v>
      </c>
      <c r="G20" s="175">
        <v>0.15</v>
      </c>
    </row>
    <row r="21" spans="1:8" ht="15.75" customHeight="1" x14ac:dyDescent="0.15">
      <c r="B21" s="137" t="s">
        <v>262</v>
      </c>
      <c r="C21" s="174" t="e">
        <f>Fin_Analysis!I77</f>
        <v>#VALUE!</v>
      </c>
      <c r="F21" s="87"/>
      <c r="G21" s="29"/>
    </row>
    <row r="22" spans="1:8" ht="15.75" customHeight="1" x14ac:dyDescent="0.15">
      <c r="B22" s="137" t="s">
        <v>175</v>
      </c>
      <c r="C22" s="174" t="e">
        <f>Fin_Analysis!I79</f>
        <v>#VALUE!</v>
      </c>
      <c r="F22" s="142" t="s">
        <v>191</v>
      </c>
    </row>
    <row r="23" spans="1:8" ht="15.75" customHeight="1" x14ac:dyDescent="0.15">
      <c r="B23" s="137" t="s">
        <v>261</v>
      </c>
      <c r="C23" s="174" t="e">
        <f>Fin_Analysis!I80</f>
        <v>#VALUE!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 t="e">
        <f>Fin_Analysis!I81</f>
        <v>#VALUE!</v>
      </c>
      <c r="F24" s="140" t="s">
        <v>180</v>
      </c>
      <c r="G24" s="181" t="e">
        <f>(Fin_Analysis!H86*G7)/G3</f>
        <v>#VALUE!</v>
      </c>
    </row>
    <row r="25" spans="1:8" ht="15.75" customHeight="1" x14ac:dyDescent="0.15">
      <c r="B25" s="137" t="s">
        <v>199</v>
      </c>
      <c r="C25" s="174" t="e">
        <f>Fin_Analysis!I82</f>
        <v>#VALUE!</v>
      </c>
      <c r="F25" s="140" t="s">
        <v>179</v>
      </c>
      <c r="G25" s="174" t="e">
        <f>Fin_Analysis!I88</f>
        <v>#VALUE!</v>
      </c>
    </row>
    <row r="26" spans="1:8" ht="15.75" customHeight="1" x14ac:dyDescent="0.15">
      <c r="B26" s="138" t="s">
        <v>178</v>
      </c>
      <c r="C26" s="174" t="e">
        <f>Fin_Analysis!I83</f>
        <v>#VALUE!</v>
      </c>
      <c r="F26" s="141" t="s">
        <v>201</v>
      </c>
      <c r="G26" s="181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 t="e">
        <f>IF(Fin_Analysis!C108="Profit",Fin_Analysis!E100,IF(Fin_Analysis!C108="Dividend",Fin_Analysis!D103,Fin_Analysis!D106))</f>
        <v>#VALUE!</v>
      </c>
      <c r="D29" s="129" t="e">
        <f>IF(Fin_Analysis!C108="Profit",Fin_Analysis!I100,IF(Fin_Analysis!C108="Dividend",Fin_Analysis!I103,Fin_Analysis!I106))</f>
        <v>#VALUE!</v>
      </c>
      <c r="E29" s="87"/>
      <c r="F29" s="131" t="e">
        <f>IF(Fin_Analysis!C108="Profit",Fin_Analysis!F100,IF(Fin_Analysis!C108="Dividend",Fin_Analysis!F103,Fin_Analysis!F106))</f>
        <v>#VALUE!</v>
      </c>
      <c r="G29" s="249" t="e">
        <f>IF(Fin_Analysis!C108="Profit",Fin_Analysis!E100,IF(Fin_Analysis!C108="Dividend",Fin_Analysis!E103,Fin_Analysis!E106))</f>
        <v>#VALUE!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263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3" zoomScaleNormal="100" workbookViewId="0">
      <pane xSplit="2" topLeftCell="C1" activePane="topRight" state="frozen"/>
      <selection activeCell="A4" sqref="A4"/>
      <selection pane="topRight" activeCell="C22" sqref="C22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45381</v>
      </c>
      <c r="E3" s="148" t="s">
        <v>208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 t="str">
        <f>IF(Inputs!C19=""," ",Inputs!C19)</f>
        <v xml:space="preserve"> </v>
      </c>
      <c r="D6" s="206" t="str">
        <f>IF(Inputs!D19="","",Inputs!D19)</f>
        <v/>
      </c>
      <c r="E6" s="206" t="str">
        <f>IF(Inputs!E19="","",Inputs!E19)</f>
        <v/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 t="str">
        <f>IF(Inputs!C20="","",Inputs!C20)</f>
        <v/>
      </c>
      <c r="D8" s="205" t="str">
        <f>IF(Inputs!D20="","",Inputs!D20)</f>
        <v/>
      </c>
      <c r="E8" s="205" t="str">
        <f>IF(Inputs!E20="","",Inputs!E20)</f>
        <v/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 t="e">
        <f t="shared" ref="C9:M9" si="2">IF(C6="","",(C6-C8))</f>
        <v>#VALUE!</v>
      </c>
      <c r="D9" s="153" t="str">
        <f t="shared" si="2"/>
        <v/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 t="str">
        <f>IF(Inputs!C21="","",Inputs!C21)</f>
        <v/>
      </c>
      <c r="D10" s="205" t="str">
        <f>IF(Inputs!D21="","",Inputs!D21)</f>
        <v/>
      </c>
      <c r="E10" s="205" t="str">
        <f>IF(Inputs!E21="","",Inputs!E21)</f>
        <v/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 t="str">
        <f>IF(Inputs!C24="","",MAX(Inputs!C24,0)/(1-Fin_Analysis!$I$84))</f>
        <v/>
      </c>
      <c r="D12" s="205" t="str">
        <f>IF(Inputs!D24="","",MAX(Inputs!D24,0)/(1-Fin_Analysis!$I$84))</f>
        <v/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 t="e">
        <f t="shared" ref="C13:M13" si="3">IF(C14="","",C14/C6)</f>
        <v>#VALUE!</v>
      </c>
      <c r="D13" s="242" t="str">
        <f t="shared" si="3"/>
        <v/>
      </c>
      <c r="E13" s="242" t="str">
        <f t="shared" si="3"/>
        <v/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 t="e">
        <f>IF(C6="","",C9-C10-MAX(C11,0)-MAX(C12,0))</f>
        <v>#VALUE!</v>
      </c>
      <c r="D14" s="243" t="str">
        <f t="shared" ref="D14:M14" si="4">IF(D6="","",D9-D10-MAX(D11,0)-MAX(D12,0))</f>
        <v/>
      </c>
      <c r="E14" s="243" t="str">
        <f t="shared" si="4"/>
        <v/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 t="str">
        <f>IF(D14="","",IF(ABS(C14+D14)=ABS(C14)+ABS(D14),IF(C14&lt;0,-1,1)*(C14-D14)/D14,"Turn"))</f>
        <v/>
      </c>
      <c r="D15" s="245" t="str">
        <f t="shared" ref="D15:M15" si="5">IF(E14="","",IF(ABS(D14+E14)=ABS(D14)+ABS(E14),IF(D14&lt;0,-1,1)*(D14-E14)/E14,"Turn"))</f>
        <v/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 t="str">
        <f>IF(Inputs!C23="","",Inputs!C23)</f>
        <v/>
      </c>
      <c r="D17" s="205" t="str">
        <f>IF(Inputs!D23="","",Inputs!D23)</f>
        <v/>
      </c>
      <c r="E17" s="205" t="str">
        <f>IF(Inputs!E23="","",Inputs!E23)</f>
        <v/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 t="e">
        <f t="shared" ref="C20:M20" si="7">IF(C6="","",MAX(C21,0)/C6)</f>
        <v>#VALUE!</v>
      </c>
      <c r="D20" s="154" t="str">
        <f t="shared" si="7"/>
        <v/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 t="e">
        <f>IF(C6="","",C14-MAX(C16,0)-MAX(C17,0)-ABS(MAX(C21,0)-MAX(C19,0)))</f>
        <v>#VALUE!</v>
      </c>
      <c r="D22" s="163" t="str">
        <f t="shared" ref="D22:M22" si="8">IF(D6="","",D14-MAX(D16,0)-MAX(D17,0)-ABS(MAX(D21,0)-MAX(D19,0)))</f>
        <v/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 t="e">
        <f t="shared" ref="C23:M23" si="9">IF(C6="","",C24/C6)</f>
        <v>#VALUE!</v>
      </c>
      <c r="D23" s="155" t="str">
        <f t="shared" si="9"/>
        <v/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 t="str">
        <f>IF(D24="","",IF(ABS(C24+D24)=ABS(C24)+ABS(D24),IF(C24&lt;0,-1,1)*(C24-D24)/D24,"Turn"))</f>
        <v/>
      </c>
      <c r="D25" s="246" t="str">
        <f t="shared" ref="D25:M25" si="10">IF(E24="","",IF(ABS(D24+E24)=ABS(D24)+ABS(E24),IF(D24&lt;0,-1,1)*(D24-E24)/E24,"Turn"))</f>
        <v/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#VALUE!</v>
      </c>
      <c r="D40" s="157" t="str">
        <f>IF(D6="","",D14/MAX(D39,0))</f>
        <v/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 t="e">
        <f t="shared" ref="C42:M42" si="34">IF(C6="","",C8/C6)</f>
        <v>#VALUE!</v>
      </c>
      <c r="D42" s="158" t="str">
        <f t="shared" si="34"/>
        <v/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 t="e">
        <f t="shared" ref="C43:M43" si="35">IF(C6="","",(C10+MAX(C11,0))/C6)</f>
        <v>#VALUE!</v>
      </c>
      <c r="D43" s="155" t="str">
        <f t="shared" si="35"/>
        <v/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 t="e">
        <f t="shared" ref="C44:M44" si="36">IF(C6="","",MAX(C16,0)/C6)</f>
        <v>#VALUE!</v>
      </c>
      <c r="D44" s="155" t="str">
        <f t="shared" si="36"/>
        <v/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 t="e">
        <f t="shared" ref="C45:M45" si="37">IF(C6="","",MAX(C17,0)/C6)</f>
        <v>#VALUE!</v>
      </c>
      <c r="D45" s="155" t="str">
        <f t="shared" si="37"/>
        <v/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 t="e">
        <f>IF(C6="","",MAX(C12,0)/C6)</f>
        <v>#VALUE!</v>
      </c>
      <c r="D46" s="155" t="str">
        <f t="shared" ref="D46:M46" si="38">IF(D6="","",MAX(D12,0)/D6)</f>
        <v/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 t="e">
        <f>IF(C6="","",ABS(MAX(C21,0)-MAX(C19,0))/C6)</f>
        <v>#VALUE!</v>
      </c>
      <c r="D47" s="155" t="str">
        <f t="shared" ref="D47:M47" si="39">IF(D6="","",ABS(MAX(D21,0)-MAX(D19,0))/D6)</f>
        <v/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 t="e">
        <f t="shared" ref="C48:M48" si="40">IF(C6="","",C22/C6)</f>
        <v>#VALUE!</v>
      </c>
      <c r="D48" s="155" t="str">
        <f t="shared" si="40"/>
        <v/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 t="e">
        <f t="shared" ref="C50:M50" si="41">IF(C29="","",C29/C6)</f>
        <v>#VALUE!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 t="e">
        <f t="shared" ref="C51:M51" si="42">IF(C30="","",C30/C6)</f>
        <v>#VALUE!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e">
        <f t="shared" ref="C54:M54" si="44">IF(OR(C22="",C35=""),"",IF(C35&lt;=0,"-",C22/C35))</f>
        <v>#VALUE!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 t="e">
        <f t="shared" ref="C55:M55" si="45">IF(C22="","",IF(MAX(C17,0)&lt;=0,"-",C17/C22))</f>
        <v>#VALUE!</v>
      </c>
      <c r="D55" s="155" t="str">
        <f t="shared" si="45"/>
        <v/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27:M40 C6:M23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E89" sqref="E8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 t="str">
        <f>Data!C6</f>
        <v xml:space="preserve"> </v>
      </c>
      <c r="D74" s="215"/>
      <c r="E74" s="202" t="str">
        <f>H74</f>
        <v xml:space="preserve"> </v>
      </c>
      <c r="F74" s="215"/>
      <c r="H74" s="202" t="str">
        <f>C74</f>
        <v xml:space="preserve"> </v>
      </c>
      <c r="I74" s="215"/>
      <c r="K74" s="24"/>
    </row>
    <row r="75" spans="1:11" ht="15" customHeight="1" x14ac:dyDescent="0.15">
      <c r="B75" s="104" t="s">
        <v>106</v>
      </c>
      <c r="C75" s="77" t="str">
        <f>Data!C8</f>
        <v/>
      </c>
      <c r="D75" s="161" t="e">
        <f>C75/$C$74</f>
        <v>#VALUE!</v>
      </c>
      <c r="E75" s="202" t="e">
        <f>E74*D75</f>
        <v>#VALUE!</v>
      </c>
      <c r="F75" s="162" t="e">
        <f>E75/E74</f>
        <v>#VALUE!</v>
      </c>
      <c r="H75" s="202" t="e">
        <f>H74*D75</f>
        <v>#VALUE!</v>
      </c>
      <c r="I75" s="162" t="e">
        <f>H75/$H$74</f>
        <v>#VALUE!</v>
      </c>
      <c r="K75" s="24"/>
    </row>
    <row r="76" spans="1:11" ht="15" customHeight="1" x14ac:dyDescent="0.15">
      <c r="B76" s="35" t="s">
        <v>96</v>
      </c>
      <c r="C76" s="163" t="e">
        <f>C74-C75</f>
        <v>#VALUE!</v>
      </c>
      <c r="D76" s="216"/>
      <c r="E76" s="164" t="e">
        <f>E74-E75</f>
        <v>#VALUE!</v>
      </c>
      <c r="F76" s="216"/>
      <c r="H76" s="164" t="e">
        <f>H74-H75</f>
        <v>#VALUE!</v>
      </c>
      <c r="I76" s="216"/>
      <c r="K76" s="24"/>
    </row>
    <row r="77" spans="1:11" ht="15" customHeight="1" x14ac:dyDescent="0.15">
      <c r="B77" s="104" t="s">
        <v>265</v>
      </c>
      <c r="C77" s="77" t="e">
        <f>Data!C10+MAX(Data!C11,0)</f>
        <v>#VALUE!</v>
      </c>
      <c r="D77" s="161" t="e">
        <f>C77/$C$74</f>
        <v>#VALUE!</v>
      </c>
      <c r="E77" s="202" t="e">
        <f>E74*I77</f>
        <v>#VALUE!</v>
      </c>
      <c r="F77" s="162" t="e">
        <f>E77/E74</f>
        <v>#VALUE!</v>
      </c>
      <c r="H77" s="202" t="e">
        <f>H74*D77</f>
        <v>#VALUE!</v>
      </c>
      <c r="I77" s="162" t="e">
        <f>H77/$H$74</f>
        <v>#VALUE!</v>
      </c>
      <c r="K77" s="24"/>
    </row>
    <row r="78" spans="1:11" ht="15" customHeight="1" x14ac:dyDescent="0.15">
      <c r="B78" s="35" t="s">
        <v>245</v>
      </c>
      <c r="C78" s="163" t="e">
        <f>C76-C77</f>
        <v>#VALUE!</v>
      </c>
      <c r="D78" s="216"/>
      <c r="E78" s="164" t="e">
        <f>E76-E77</f>
        <v>#VALUE!</v>
      </c>
      <c r="F78" s="216"/>
      <c r="H78" s="164" t="e">
        <f>H76-H77</f>
        <v>#VALUE!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0</v>
      </c>
      <c r="D79" s="161" t="e">
        <f>C79/$C$74</f>
        <v>#VALUE!</v>
      </c>
      <c r="E79" s="183" t="e">
        <f>E74*F79</f>
        <v>#VALUE!</v>
      </c>
      <c r="F79" s="162" t="e">
        <f t="shared" ref="F79:F84" si="3">I79</f>
        <v>#VALUE!</v>
      </c>
      <c r="H79" s="202" t="e">
        <f>H74*D79</f>
        <v>#VALUE!</v>
      </c>
      <c r="I79" s="162" t="e">
        <f>H79/$H$74</f>
        <v>#VALUE!</v>
      </c>
      <c r="K79" s="24"/>
    </row>
    <row r="80" spans="1:11" ht="15" customHeight="1" x14ac:dyDescent="0.15">
      <c r="B80" s="28" t="s">
        <v>264</v>
      </c>
      <c r="C80" s="77">
        <f>MAX(MAX(Data!C21,0)-MAX(Data!C19,0),0)</f>
        <v>0</v>
      </c>
      <c r="D80" s="161" t="e">
        <f>C80/$C$74</f>
        <v>#VALUE!</v>
      </c>
      <c r="E80" s="202" t="e">
        <f>E74*I80</f>
        <v>#VALUE!</v>
      </c>
      <c r="F80" s="162" t="e">
        <f>E80/E74</f>
        <v>#VALUE!</v>
      </c>
      <c r="H80" s="202" t="e">
        <f>H74*D80</f>
        <v>#VALUE!</v>
      </c>
      <c r="I80" s="162" t="e">
        <f>H80/$H$74</f>
        <v>#VALUE!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 t="e">
        <f>C81/$C$74</f>
        <v>#VALUE!</v>
      </c>
      <c r="E81" s="183" t="e">
        <f>E74*F81</f>
        <v>#VALUE!</v>
      </c>
      <c r="F81" s="162" t="e">
        <f t="shared" si="3"/>
        <v>#VALUE!</v>
      </c>
      <c r="H81" s="202" t="e">
        <f>H74*D81</f>
        <v>#VALUE!</v>
      </c>
      <c r="I81" s="162" t="e">
        <f>H81/$H$74</f>
        <v>#VALUE!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 t="e">
        <f>C82/$C$74</f>
        <v>#VALUE!</v>
      </c>
      <c r="E82" s="183" t="e">
        <f>E74*F82</f>
        <v>#VALUE!</v>
      </c>
      <c r="F82" s="162" t="e">
        <f t="shared" si="3"/>
        <v>#VALUE!</v>
      </c>
      <c r="H82" s="202" t="e">
        <f>H74*D82</f>
        <v>#VALUE!</v>
      </c>
      <c r="I82" s="162" t="e">
        <f>H82/$H$74</f>
        <v>#VALUE!</v>
      </c>
      <c r="K82" s="24"/>
    </row>
    <row r="83" spans="1:11" ht="15" customHeight="1" thickBot="1" x14ac:dyDescent="0.2">
      <c r="B83" s="105" t="s">
        <v>128</v>
      </c>
      <c r="C83" s="165" t="e">
        <f>C78-C79-C80-C81-C82</f>
        <v>#VALUE!</v>
      </c>
      <c r="D83" s="166" t="e">
        <f>C83/$C$74</f>
        <v>#VALUE!</v>
      </c>
      <c r="E83" s="167" t="e">
        <f>E78-E79-E80-E81-E82</f>
        <v>#VALUE!</v>
      </c>
      <c r="F83" s="166" t="e">
        <f>E83/E74</f>
        <v>#VALUE!</v>
      </c>
      <c r="H83" s="167" t="e">
        <f>H78-H79-H80-H81-H82</f>
        <v>#VALUE!</v>
      </c>
      <c r="I83" s="166" t="e">
        <f>H83/$H$74</f>
        <v>#VALUE!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 t="e">
        <f>C83*(1-I84)</f>
        <v>#VALUE!</v>
      </c>
      <c r="D85" s="168" t="e">
        <f>C85/$C$74</f>
        <v>#VALUE!</v>
      </c>
      <c r="E85" s="169" t="e">
        <f>E83*(1-F84)</f>
        <v>#VALUE!</v>
      </c>
      <c r="F85" s="168" t="e">
        <f>E85/E74</f>
        <v>#VALUE!</v>
      </c>
      <c r="H85" s="169" t="e">
        <f>H83*(1-I84)</f>
        <v>#VALUE!</v>
      </c>
      <c r="I85" s="168" t="e">
        <f>H85/$H$74</f>
        <v>#VALUE!</v>
      </c>
      <c r="K85" s="24"/>
    </row>
    <row r="86" spans="1:11" ht="15" customHeight="1" x14ac:dyDescent="0.15">
      <c r="B86" s="87" t="s">
        <v>165</v>
      </c>
      <c r="C86" s="170" t="e">
        <f>C85*Data!C4/Common_Shares</f>
        <v>#VALUE!</v>
      </c>
      <c r="D86" s="215"/>
      <c r="E86" s="171" t="e">
        <f>E85*Data!C4/Common_Shares</f>
        <v>#VALUE!</v>
      </c>
      <c r="F86" s="215"/>
      <c r="H86" s="171" t="e">
        <f>H85*Data!C4/Common_Shares</f>
        <v>#VALUE!</v>
      </c>
      <c r="I86" s="215"/>
      <c r="K86" s="24"/>
    </row>
    <row r="87" spans="1:11" ht="15" customHeight="1" x14ac:dyDescent="0.15">
      <c r="B87" s="87" t="s">
        <v>216</v>
      </c>
      <c r="C87" s="162" t="e">
        <f>C86*Exchange_Rate/Dashboard!G3</f>
        <v>#VALUE!</v>
      </c>
      <c r="D87" s="215"/>
      <c r="E87" s="233" t="e">
        <f>E86*Exchange_Rate/Dashboard!G3</f>
        <v>#VALUE!</v>
      </c>
      <c r="F87" s="215"/>
      <c r="H87" s="233" t="e">
        <f>H86*Exchange_Rate/Dashboard!G3</f>
        <v>#VALUE!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</v>
      </c>
      <c r="D88" s="168" t="e">
        <f>C88/C86</f>
        <v>#VALUE!</v>
      </c>
      <c r="E88" s="201">
        <f>H88</f>
        <v>0</v>
      </c>
      <c r="F88" s="168" t="e">
        <f>E88/E86</f>
        <v>#VALUE!</v>
      </c>
      <c r="H88" s="173">
        <f>Inputs!F6</f>
        <v>0</v>
      </c>
      <c r="I88" s="168" t="e">
        <f>H88/H86</f>
        <v>#VALUE!</v>
      </c>
      <c r="K88" s="24"/>
    </row>
    <row r="89" spans="1:11" ht="15" customHeight="1" x14ac:dyDescent="0.15">
      <c r="B89" s="87" t="s">
        <v>231</v>
      </c>
      <c r="C89" s="162">
        <f>C88*Exchange_Rate/Dashboard!G3</f>
        <v>0</v>
      </c>
      <c r="D89" s="215"/>
      <c r="E89" s="162">
        <f>E88*Exchange_Rate/Dashboard!G3</f>
        <v>0</v>
      </c>
      <c r="F89" s="215"/>
      <c r="H89" s="162">
        <f>H88*Exchange_Rate/Dashboard!G3</f>
        <v>0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 t="e">
        <f>FV(E87,D93,0,-(E86/C93))</f>
        <v>#VALUE!</v>
      </c>
      <c r="H93" s="87" t="s">
        <v>217</v>
      </c>
      <c r="I93" s="145" t="e">
        <f>FV(H87,D93,0,-(H86/C93))</f>
        <v>#VALUE!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0</v>
      </c>
      <c r="H94" s="87" t="s">
        <v>218</v>
      </c>
      <c r="I94" s="145">
        <f>FV(H89,D93,0,-(H88/C93))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 t="e">
        <f>H97*Common_Shares/Data!C4</f>
        <v>#VALUE!</v>
      </c>
      <c r="D97" s="219"/>
      <c r="E97" s="123" t="e">
        <f>PV(C93,D93,0,-F93)*Exchange_Rate</f>
        <v>#VALUE!</v>
      </c>
      <c r="F97" s="219"/>
      <c r="H97" s="123" t="e">
        <f>PV(C93,D93,0,-I93)*Exchange_Rate</f>
        <v>#VALUE!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 t="e">
        <f>C97-C98+$C$99</f>
        <v>#VALUE!</v>
      </c>
      <c r="D100" s="109" t="e">
        <f>F100*(1-C94)</f>
        <v>#VALUE!</v>
      </c>
      <c r="E100" s="109" t="e">
        <f>MAX(E97-H98+E99,0)</f>
        <v>#VALUE!</v>
      </c>
      <c r="F100" s="109" t="e">
        <f>(E100+H100)/2</f>
        <v>#VALUE!</v>
      </c>
      <c r="H100" s="109" t="e">
        <f>MAX(C100*Data!$C$4/Common_Shares,0)</f>
        <v>#VALUE!</v>
      </c>
      <c r="I100" s="109" t="e">
        <f>F100*1.25</f>
        <v>#VALUE!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0</v>
      </c>
      <c r="D103" s="109">
        <f>F103*(1-C94)</f>
        <v>0</v>
      </c>
      <c r="E103" s="123">
        <f>PV(C93,D93,0,-F94)*Exchange_Rate</f>
        <v>0</v>
      </c>
      <c r="F103" s="109">
        <f>(E103+H103)/2</f>
        <v>0</v>
      </c>
      <c r="H103" s="123">
        <f>PV(C93,D93,0,-I94)*Exchange_Rate</f>
        <v>0</v>
      </c>
      <c r="I103" s="109">
        <f>F103*1.25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 t="e">
        <f>E106*Common_Shares/Data!C4</f>
        <v>#VALUE!</v>
      </c>
      <c r="D106" s="109" t="e">
        <f>(D100+D103)/2</f>
        <v>#VALUE!</v>
      </c>
      <c r="E106" s="123" t="e">
        <f>(E100+E103)/2</f>
        <v>#VALUE!</v>
      </c>
      <c r="F106" s="109" t="e">
        <f>(F100+F103)/2</f>
        <v>#VALUE!</v>
      </c>
      <c r="H106" s="123" t="e">
        <f>(H100+H103)/2</f>
        <v>#VALUE!</v>
      </c>
      <c r="I106" s="123" t="e">
        <f>(I100+I103)/2</f>
        <v>#VALUE!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2024-11-21T13:16:18Z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