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896B126D-CD68-0A48-8531-33555749079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D16" i="1"/>
  <c r="F96" i="4" l="1"/>
  <c r="D53" i="4"/>
  <c r="D45" i="4"/>
  <c r="E45" i="4"/>
  <c r="F45" i="4"/>
  <c r="G45" i="4"/>
  <c r="H45" i="4"/>
  <c r="I45" i="4"/>
  <c r="J45" i="4"/>
  <c r="K45" i="4"/>
  <c r="L45" i="4"/>
  <c r="M45" i="4"/>
  <c r="C45" i="4"/>
  <c r="D33" i="2"/>
  <c r="C43" i="1"/>
  <c r="C40" i="1"/>
  <c r="C39" i="1"/>
  <c r="C37" i="1"/>
  <c r="C36" i="1"/>
  <c r="C33" i="1"/>
  <c r="C98" i="4"/>
  <c r="D93" i="3"/>
  <c r="C108" i="3"/>
  <c r="C97" i="4"/>
  <c r="C96" i="4"/>
  <c r="C95" i="4"/>
  <c r="C94" i="4"/>
  <c r="C93" i="4"/>
  <c r="C92" i="4"/>
  <c r="C91" i="4"/>
  <c r="D98" i="4" l="1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G24" i="1"/>
  <c r="I88" i="3"/>
  <c r="G25" i="1" s="1"/>
  <c r="E106" i="3"/>
  <c r="G29" i="1" s="1"/>
  <c r="H97" i="3" l="1"/>
  <c r="C97" i="3" s="1"/>
  <c r="C100" i="3" s="1"/>
  <c r="H100" i="3" s="1"/>
  <c r="I97" i="3"/>
  <c r="I100" i="3" s="1"/>
  <c r="C106" i="3"/>
  <c r="I106" i="3"/>
  <c r="D29" i="1" s="1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<sst xmlns="http://schemas.openxmlformats.org/spreadsheetml/2006/main" count="391" uniqueCount="269">
  <si>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</si>
  <si>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</si>
  <si>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</si>
  <si>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</si>
  <si>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</si>
  <si>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</si>
  <si>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</si>
  <si>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</si>
  <si>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</si>
  <si>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</si>
  <si>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</si>
  <si>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</si>
  <si>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</si>
  <si>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</si>
  <si>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</si>
  <si>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</si>
  <si>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</si>
  <si>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</si>
  <si>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</si>
  <si>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</si>
  <si>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</si>
  <si>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</si>
  <si>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</si>
  <si>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</si>
  <si>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</si>
  <si>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</si>
  <si>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</si>
  <si>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</si>
  <si>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</si>
  <si>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</si>
  <si>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</si>
  <si>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</si>
  <si>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</si>
  <si>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</si>
  <si>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</si>
  <si>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</si>
  <si>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</si>
  <si>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</si>
  <si>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</si>
  <si>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</si>
  <si>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</si>
  <si>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</si>
  <si>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</si>
  <si>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</si>
  <si>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</si>
  <si>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</si>
  <si>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</si>
  <si>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</si>
  <si>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</si>
  <si>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</si>
  <si>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</si>
  <si>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</si>
  <si>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</si>
  <si>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</si>
  <si>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</si>
  <si>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</si>
  <si>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</si>
  <si>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</si>
  <si>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</si>
  <si>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</si>
  <si>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</si>
  <si>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</si>
  <si>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</si>
  <si>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</si>
  <si>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</si>
  <si>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</si>
  <si>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</si>
  <si>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</si>
  <si>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</si>
  <si>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</si>
  <si>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</si>
  <si>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</si>
  <si>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</si>
  <si>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</si>
  <si>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</si>
  <si>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</si>
  <si>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</si>
  <si>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</si>
  <si>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</si>
  <si>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</si>
  <si>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</si>
  <si>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</si>
  <si>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</si>
  <si>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</si>
  <si>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</si>
  <si>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</si>
  <si>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</si>
  <si>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</si>
  <si>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</si>
  <si>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</si>
  <si>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</si>
  <si>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</si>
  <si>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</si>
  <si>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</si>
  <si>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</si>
  <si>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</si>
  <si>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</si>
  <si>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</si>
  <si>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</si>
  <si>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</si>
  <si>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</si>
  <si>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</si>
  <si>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</si>
  <si>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</si>
  <si>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</si>
  <si>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</si>
  <si>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</si>
  <si>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</si>
  <si>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</si>
  <si>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</si>
  <si>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</si>
  <si>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</si>
  <si>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</si>
  <si>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</si>
  <si>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</si>
  <si>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</si>
  <si>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</si>
  <si>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</si>
  <si>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</si>
  <si>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</si>
  <si>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</si>
  <si>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</si>
  <si>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</si>
  <si>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</si>
  <si>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</si>
  <si>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</si>
  <si>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</si>
  <si>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</si>
  <si>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</si>
  <si>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</si>
  <si>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</si>
  <si>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</si>
  <si>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</si>
  <si>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</si>
  <si>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</si>
  <si>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</si>
  <si>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</si>
  <si>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</si>
  <si>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</si>
  <si>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</si>
  <si>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</si>
  <si>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</si>
  <si>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</si>
  <si>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</si>
  <si>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</si>
  <si>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</si>
  <si>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</si>
  <si>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</si>
  <si>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</si>
  <si>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</si>
  <si>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</si>
  <si>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</si>
  <si>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</si>
  <si>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</si>
  <si>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</si>
  <si>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</si>
  <si>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</si>
  <si>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</si>
  <si>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</si>
  <si>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</si>
  <si>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</si>
  <si>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</si>
  <si>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</si>
  <si>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</si>
  <si>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</si>
  <si>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</si>
  <si>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</si>
  <si>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</si>
  <si>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</si>
  <si>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</si>
  <si>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</si>
  <si>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</si>
  <si>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</si>
  <si>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</si>
  <si>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</si>
  <si>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</si>
  <si>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</si>
  <si>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</si>
  <si>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</si>
  <si>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</si>
  <si>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</si>
  <si>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</si>
  <si>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</si>
  <si>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</si>
  <si>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</si>
  <si>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</si>
  <si>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</si>
  <si>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</si>
  <si>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</si>
  <si>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</si>
  <si>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</si>
  <si>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</si>
  <si>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</si>
  <si>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</si>
  <si>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</si>
  <si>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</si>
  <si>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</si>
  <si>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</si>
  <si>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</si>
  <si>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</si>
  <si>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</si>
  <si>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</si>
  <si>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</si>
  <si>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</si>
  <si>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</si>
  <si>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</si>
  <si>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</si>
  <si>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</si>
  <si>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</si>
  <si>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</si>
  <si>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</si>
  <si>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</si>
  <si>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</si>
  <si>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</si>
  <si>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</si>
  <si>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</si>
  <si>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</si>
  <si>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</si>
  <si>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</si>
  <si>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</si>
  <si>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</si>
  <si>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</si>
  <si>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</si>
  <si>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</si>
  <si>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</si>
  <si>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</si>
  <si>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</si>
  <si>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</si>
  <si>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</si>
  <si>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</si>
  <si>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</si>
  <si>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</si>
  <si>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</si>
  <si>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</si>
  <si>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</si>
  <si>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</si>
  <si>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</si>
  <si>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</si>
  <si>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</si>
  <si>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</si>
  <si>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</si>
  <si>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</si>
  <si>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</si>
  <si>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</si>
  <si>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</si>
  <si>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</si>
  <si>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</si>
  <si>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</si>
  <si>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</si>
  <si>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</si>
  <si>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</si>
  <si>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</si>
  <si>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</si>
  <si>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</si>
  <si>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</si>
  <si>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</si>
  <si>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</si>
  <si>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</si>
  <si>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</si>
  <si>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</si>
  <si>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</si>
  <si>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</si>
  <si>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</si>
  <si>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</si>
  <si>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</si>
  <si>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</si>
  <si>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</si>
  <si>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</si>
  <si>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六福珠宝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</si>
</sst>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8" zoomScaleNormal="100" workbookViewId="0">
      <selection activeCell="E91" sqref="E91:F9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4" ht="16" x14ac:dyDescent="0.2">
      <c r="A2" s="5"/>
      <c r="B2" s="6" t="s">
        <v>219</v>
      </c>
    </row>
    <row r="4" spans="1:4" ht="14" x14ac:dyDescent="0.15">
      <c r="B4" s="141" t="s">
        <v>198</v>
      </c>
      <c r="C4" s="189" t="s">
        <v>252</v>
      </c>
    </row>
    <row r="5" spans="1:4" ht="14" x14ac:dyDescent="0.15">
      <c r="B5" s="141" t="s">
        <v>199</v>
      </c>
      <c r="C5" s="192" t="s">
        <v>268</v>
      </c>
    </row>
    <row r="6" spans="1:4" ht="14" x14ac:dyDescent="0.15">
      <c r="B6" s="141" t="s">
        <v>166</v>
      </c>
      <c r="C6" s="190">
        <v>45593</v>
      </c>
    </row>
    <row r="7" spans="1:4" ht="14" x14ac:dyDescent="0.15">
      <c r="B7" s="140" t="s">
        <v>4</v>
      </c>
      <c r="C7" s="191">
        <v>8</v>
      </c>
    </row>
    <row r="8" spans="1:4" ht="14" x14ac:dyDescent="0.15">
      <c r="B8" s="140" t="s">
        <v>220</v>
      </c>
      <c r="C8" s="192" t="s">
        <v>46</v>
      </c>
    </row>
    <row r="9" spans="1:4" ht="14" x14ac:dyDescent="0.15">
      <c r="B9" s="140" t="s">
        <v>221</v>
      </c>
      <c r="C9" s="193" t="s">
        <v>253</v>
      </c>
    </row>
    <row r="10" spans="1:4" ht="14" x14ac:dyDescent="0.15">
      <c r="B10" s="140" t="s">
        <v>222</v>
      </c>
      <c r="C10" s="194">
        <v>587107850</v>
      </c>
    </row>
    <row r="11" spans="1:4" ht="14" x14ac:dyDescent="0.15">
      <c r="B11" s="140" t="s">
        <v>223</v>
      </c>
      <c r="C11" s="193" t="s">
        <v>2</v>
      </c>
    </row>
    <row r="12" spans="1:4" ht="14" x14ac:dyDescent="0.15">
      <c r="B12" s="219" t="s">
        <v>10</v>
      </c>
      <c r="C12" s="220">
        <v>45382</v>
      </c>
    </row>
    <row r="13" spans="1:4" ht="14" x14ac:dyDescent="0.15">
      <c r="B13" s="219" t="s">
        <v>11</v>
      </c>
      <c r="C13" s="221">
        <v>1000</v>
      </c>
    </row>
    <row r="14" spans="1:4" ht="14" x14ac:dyDescent="0.15">
      <c r="B14" s="219" t="s">
        <v>224</v>
      </c>
      <c r="C14" s="220">
        <v>45382</v>
      </c>
    </row>
    <row r="15" spans="1:4" ht="14" x14ac:dyDescent="0.15">
      <c r="B15" s="219" t="s">
        <v>267</v>
      </c>
      <c r="C15" s="177" t="s">
        <v>193</v>
      </c>
    </row>
    <row r="16" spans="1:4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229</v>
      </c>
      <c r="C17" s="243" t="s">
        <v>237</v>
      </c>
      <c r="D17" s="24"/>
    </row>
    <row r="18" spans="2:13" ht="14" x14ac:dyDescent="0.15">
      <c r="B18" s="241" t="s">
        <v>247</v>
      </c>
      <c r="C18" s="243" t="s">
        <v>256</v>
      </c>
      <c r="D18" s="24"/>
    </row>
    <row r="19" spans="2:13" ht="14" x14ac:dyDescent="0.15">
      <c r="B19" s="241" t="s">
        <v>248</v>
      </c>
      <c r="C19" s="243" t="s">
        <v>238</v>
      </c>
      <c r="D19" s="24"/>
    </row>
    <row r="20" spans="2:13" ht="14" x14ac:dyDescent="0.15">
      <c r="B20" s="242" t="s">
        <v>233</v>
      </c>
      <c r="C20" s="243" t="s">
        <v>238</v>
      </c>
      <c r="D20" s="24"/>
    </row>
    <row r="21" spans="2:13" ht="14" x14ac:dyDescent="0.15">
      <c r="B21" s="225" t="s">
        <v>239</v>
      </c>
      <c r="C21" s="243" t="s">
        <v>237</v>
      </c>
      <c r="D21" s="24"/>
    </row>
    <row r="22" spans="2:13" ht="84" x14ac:dyDescent="0.15">
      <c r="B22" s="227" t="s">
        <v>235</v>
      </c>
      <c r="C22" s="244" t="s">
        <v>236</v>
      </c>
      <c r="D22" s="24"/>
    </row>
    <row r="24" spans="2:13" ht="15" x14ac:dyDescent="0.15">
      <c r="B24" s="115" t="s">
        <v>135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5" x14ac:dyDescent="0.15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124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150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139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140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138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211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4" x14ac:dyDescent="0.15">
      <c r="B45" s="74" t="s">
        <v>264</v>
      </c>
      <c r="C45" s="153">
        <f>IF(C44="","",C44/Dashboard!$G$3)</f>
        <v>9.1520863487294393E-2</v>
      </c>
      <c r="D45" s="153">
        <f>IF(D44="","",D44/Dashboard!$G$3)</f>
        <v>7.4024227820605776E-2</v>
      </c>
      <c r="E45" s="153">
        <f>IF(E44="","",E44/Dashboard!$G$3)</f>
        <v>7.4024227820605776E-2</v>
      </c>
      <c r="F45" s="153">
        <f>IF(F44="","",F44/Dashboard!$G$3)</f>
        <v>6.7294752564187058E-2</v>
      </c>
      <c r="G45" s="153">
        <f>IF(G44="","",G44/Dashboard!$G$3)</f>
        <v>6.7294752564187058E-2</v>
      </c>
      <c r="H45" s="153">
        <f>IF(H44="","",H44/Dashboard!$G$3)</f>
        <v>7.7388965448815114E-2</v>
      </c>
      <c r="I45" s="153" t="str">
        <f>IF(I44="","",I44/Dashboard!$G$3)</f>
        <v/>
      </c>
      <c r="J45" s="153" t="str">
        <f>IF(J44="","",J44/Dashboard!$G$3)</f>
        <v/>
      </c>
      <c r="K45" s="153" t="str">
        <f>IF(K44="","",K44/Dashboard!$G$3)</f>
        <v/>
      </c>
      <c r="L45" s="153" t="str">
        <f>IF(L44="","",L44/Dashboard!$G$3)</f>
        <v/>
      </c>
      <c r="M45" s="153" t="str">
        <f>IF(M44="","",M44/Dashboard!$G$3)</f>
        <v/>
      </c>
    </row>
    <row r="47" spans="2:13" ht="14" x14ac:dyDescent="0.15">
      <c r="B47" s="10" t="s">
        <v>260</v>
      </c>
      <c r="C47" s="195" t="s">
        <v>34</v>
      </c>
      <c r="D47" s="195" t="s">
        <v>200</v>
      </c>
      <c r="E47" s="111" t="s">
        <v>36</v>
      </c>
    </row>
    <row r="48" spans="2:13" ht="14" x14ac:dyDescent="0.15">
      <c r="B48" s="3" t="s">
        <v>38</v>
      </c>
      <c r="C48" s="59">
        <v>1998219</v>
      </c>
      <c r="D48" s="60">
        <v>0.9</v>
      </c>
      <c r="E48" s="112"/>
    </row>
    <row r="49" spans="2:5" ht="14" x14ac:dyDescent="0.15">
      <c r="B49" s="1" t="s">
        <v>137</v>
      </c>
      <c r="C49" s="59"/>
      <c r="D49" s="60">
        <v>0.8</v>
      </c>
      <c r="E49" s="112"/>
    </row>
    <row r="50" spans="2:5" ht="14" x14ac:dyDescent="0.15">
      <c r="B50" s="3" t="s">
        <v>117</v>
      </c>
      <c r="C50" s="59">
        <v>265773</v>
      </c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161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>
        <v>366595</v>
      </c>
      <c r="D54" s="60">
        <v>0.1</v>
      </c>
      <c r="E54" s="112"/>
    </row>
    <row r="55" spans="2:5" ht="14" x14ac:dyDescent="0.15">
      <c r="B55" s="3" t="s">
        <v>47</v>
      </c>
      <c r="C55" s="59">
        <v>9672256</v>
      </c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>
        <v>29465</v>
      </c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162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>
        <v>103050</v>
      </c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>
        <v>2522337</v>
      </c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>
        <v>538321</v>
      </c>
      <c r="D70" s="60">
        <v>0.05</v>
      </c>
      <c r="E70" s="112"/>
    </row>
    <row r="71" spans="2:5" ht="14" x14ac:dyDescent="0.15">
      <c r="B71" s="3" t="s">
        <v>75</v>
      </c>
      <c r="C71" s="59">
        <v>154648</v>
      </c>
      <c r="D71" s="60">
        <f>D58</f>
        <v>0.9</v>
      </c>
      <c r="E71" s="112"/>
    </row>
    <row r="72" spans="2:5" ht="15" thickBot="1" x14ac:dyDescent="0.2">
      <c r="B72" s="247" t="s">
        <v>76</v>
      </c>
      <c r="C72" s="248">
        <v>277674</v>
      </c>
      <c r="D72" s="249">
        <v>0</v>
      </c>
      <c r="E72" s="250"/>
    </row>
    <row r="73" spans="2:5" ht="14" x14ac:dyDescent="0.15">
      <c r="B73" s="3" t="s">
        <v>39</v>
      </c>
      <c r="C73" s="59">
        <v>1427805</v>
      </c>
    </row>
    <row r="74" spans="2:5" ht="14" x14ac:dyDescent="0.15">
      <c r="B74" s="3" t="s">
        <v>40</v>
      </c>
      <c r="C74" s="59">
        <v>287697</v>
      </c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>
        <v>3516809</v>
      </c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>
        <v>319420</v>
      </c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>
        <v>473357</v>
      </c>
    </row>
    <row r="83" spans="2:8" ht="15" thickTop="1" x14ac:dyDescent="0.15">
      <c r="B83" s="73" t="s">
        <v>225</v>
      </c>
      <c r="C83" s="59">
        <v>12890860</v>
      </c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261</v>
      </c>
      <c r="C86" s="198">
        <v>5</v>
      </c>
    </row>
    <row r="87" spans="2:8" ht="14" x14ac:dyDescent="0.15">
      <c r="B87" s="10" t="s">
        <v>259</v>
      </c>
      <c r="C87" s="237" t="s">
        <v>262</v>
      </c>
    </row>
    <row r="89" spans="2:8" ht="14" x14ac:dyDescent="0.15">
      <c r="B89" s="106" t="s">
        <v>129</v>
      </c>
      <c r="C89" s="267">
        <f>C24</f>
        <v>45382</v>
      </c>
      <c r="D89" s="267"/>
      <c r="E89" s="89" t="s">
        <v>210</v>
      </c>
      <c r="F89" s="50" t="s">
        <v>209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68" t="s">
        <v>101</v>
      </c>
      <c r="D90" s="268"/>
      <c r="E90" s="236" t="s">
        <v>102</v>
      </c>
      <c r="F90" s="256" t="s">
        <v>102</v>
      </c>
    </row>
    <row r="91" spans="2:8" ht="14" x14ac:dyDescent="0.15">
      <c r="B91" s="3" t="s">
        <v>128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4" x14ac:dyDescent="0.15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4" x14ac:dyDescent="0.15">
      <c r="B93" s="104" t="s">
        <v>258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4" x14ac:dyDescent="0.15">
      <c r="B94" s="104" t="s">
        <v>124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4" x14ac:dyDescent="0.15">
      <c r="B95" s="28" t="s">
        <v>257</v>
      </c>
      <c r="C95" s="77">
        <f>C33-C32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4" x14ac:dyDescent="0.15">
      <c r="B96" s="28" t="s">
        <v>110</v>
      </c>
      <c r="C96" s="77">
        <f>C31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4" x14ac:dyDescent="0.15">
      <c r="B97" s="73" t="s">
        <v>175</v>
      </c>
      <c r="C97" s="77">
        <f>MAX(C30,0)</f>
        <v>0</v>
      </c>
      <c r="D97" s="160">
        <f>C97/C91</f>
        <v>0</v>
      </c>
      <c r="E97" s="254"/>
      <c r="F97" s="253">
        <f>F91*D97</f>
        <v>0</v>
      </c>
    </row>
    <row r="98" spans="2:7" ht="14" x14ac:dyDescent="0.15">
      <c r="B98" s="86" t="s">
        <v>211</v>
      </c>
      <c r="C98" s="238">
        <f>C44</f>
        <v>1.3599999999999999</v>
      </c>
      <c r="D98" s="167">
        <f>C98/C96</f>
        <v>2.1705025511384762E-6</v>
      </c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8" sqref="D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15">
      <c r="B3" s="3" t="s">
        <v>198</v>
      </c>
      <c r="C3" s="273" t="str">
        <f>Inputs!C4</f>
        <v>0590.HK</v>
      </c>
      <c r="D3" s="274"/>
      <c r="E3" s="87"/>
      <c r="F3" s="3" t="s">
        <v>1</v>
      </c>
      <c r="G3" s="132">
        <v>14.859999656677246</v>
      </c>
      <c r="H3" s="134" t="s">
        <v>2</v>
      </c>
    </row>
    <row r="4" spans="1:10" ht="15.75" customHeight="1" x14ac:dyDescent="0.15">
      <c r="B4" s="35" t="s">
        <v>199</v>
      </c>
      <c r="C4" s="275" t="str">
        <f>Inputs!C5</f>
        <v>六福珠宝</v>
      </c>
      <c r="D4" s="276"/>
      <c r="E4" s="87"/>
      <c r="F4" s="3" t="s">
        <v>3</v>
      </c>
      <c r="G4" s="279">
        <f>Inputs!C10</f>
        <v>587107850</v>
      </c>
      <c r="H4" s="279"/>
      <c r="I4" s="39"/>
    </row>
    <row r="5" spans="1:10" ht="15.75" customHeight="1" x14ac:dyDescent="0.15">
      <c r="B5" s="3" t="s">
        <v>166</v>
      </c>
      <c r="C5" s="277">
        <f>Inputs!C6</f>
        <v>45593</v>
      </c>
      <c r="D5" s="278"/>
      <c r="E5" s="34"/>
      <c r="F5" s="35" t="s">
        <v>100</v>
      </c>
      <c r="G5" s="271">
        <f>G3*G4/1000000</f>
        <v>8724.4224494325154</v>
      </c>
      <c r="H5" s="271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2" t="str">
        <f>Inputs!C11</f>
        <v>HKD</v>
      </c>
      <c r="H6" s="272"/>
      <c r="I6" s="38"/>
    </row>
    <row r="7" spans="1:10" ht="15.75" customHeight="1" x14ac:dyDescent="0.15">
      <c r="B7" s="86" t="s">
        <v>196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194</v>
      </c>
      <c r="F9" s="143" t="s">
        <v>189</v>
      </c>
    </row>
    <row r="10" spans="1:10" ht="15.75" customHeight="1" x14ac:dyDescent="0.15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2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15">
      <c r="B12" s="87" t="s">
        <v>265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15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2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15">
      <c r="B17" s="87" t="s">
        <v>266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15">
      <c r="B20" s="137" t="s">
        <v>172</v>
      </c>
      <c r="C20" s="172">
        <f>Fin_Analysis!I75</f>
        <v>0.72762956087193742</v>
      </c>
      <c r="F20" s="87" t="s">
        <v>215</v>
      </c>
      <c r="G20" s="173">
        <v>0.15</v>
      </c>
    </row>
    <row r="21" spans="1:8" ht="15.75" customHeight="1" x14ac:dyDescent="0.15">
      <c r="B21" s="137" t="s">
        <v>255</v>
      </c>
      <c r="C21" s="172">
        <f>Fin_Analysis!I77</f>
        <v>0.16540000000000002</v>
      </c>
      <c r="F21" s="87"/>
      <c r="G21" s="29"/>
    </row>
    <row r="22" spans="1:8" ht="15.75" customHeight="1" x14ac:dyDescent="0.15">
      <c r="B22" s="137" t="s">
        <v>195</v>
      </c>
      <c r="C22" s="172">
        <f>Fin_Analysis!I78</f>
        <v>0</v>
      </c>
      <c r="F22" s="142" t="s">
        <v>188</v>
      </c>
    </row>
    <row r="23" spans="1:8" ht="15.75" customHeight="1" x14ac:dyDescent="0.15">
      <c r="B23" s="137" t="s">
        <v>174</v>
      </c>
      <c r="C23" s="172">
        <f>Fin_Analysis!I80</f>
        <v>0.02</v>
      </c>
      <c r="F23" s="140" t="s">
        <v>192</v>
      </c>
      <c r="G23" s="178">
        <f>G3/(Data!C36*Data!C4/Common_Shares*Exchange_Rate)</f>
        <v>0.67820985905147235</v>
      </c>
    </row>
    <row r="24" spans="1:8" ht="15.75" customHeight="1" x14ac:dyDescent="0.15">
      <c r="B24" s="137" t="s">
        <v>173</v>
      </c>
      <c r="C24" s="172">
        <f>Fin_Analysis!I81</f>
        <v>3.8885650375487034E-3</v>
      </c>
      <c r="F24" s="140" t="s">
        <v>178</v>
      </c>
      <c r="G24" s="179">
        <f>(Fin_Analysis!H86*G7)/G3</f>
        <v>9.6285745419702862E-2</v>
      </c>
    </row>
    <row r="25" spans="1:8" ht="15.75" customHeight="1" x14ac:dyDescent="0.15">
      <c r="B25" s="137" t="s">
        <v>254</v>
      </c>
      <c r="C25" s="172">
        <f>Fin_Analysis!I82</f>
        <v>0.01</v>
      </c>
      <c r="F25" s="140" t="s">
        <v>177</v>
      </c>
      <c r="G25" s="172">
        <f>Fin_Analysis!I88</f>
        <v>0.76879736972424439</v>
      </c>
    </row>
    <row r="26" spans="1:8" ht="15.75" customHeight="1" x14ac:dyDescent="0.15">
      <c r="B26" s="138" t="s">
        <v>176</v>
      </c>
      <c r="C26" s="172">
        <f>Fin_Analysis!I83</f>
        <v>7.3081874090513851E-2</v>
      </c>
      <c r="F26" s="141" t="s">
        <v>197</v>
      </c>
      <c r="G26" s="179">
        <f>Fin_Analysis!H88*Exchange_Rate/G3</f>
        <v>7.4024227820605776E-2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69" t="s">
        <v>246</v>
      </c>
      <c r="H28" s="269"/>
    </row>
    <row r="29" spans="1:8" ht="15.75" customHeight="1" x14ac:dyDescent="0.15">
      <c r="B29" s="87" t="s">
        <v>171</v>
      </c>
      <c r="C29" s="130">
        <f>IF(Fin_Analysis!C108="Profit",Fin_Analysis!D100,IF(Fin_Analysis!C108="Dividend",Fin_Analysis!D103,Fin_Analysis!D106))</f>
        <v>12.395440410984637</v>
      </c>
      <c r="D29" s="129">
        <f>IF(Fin_Analysis!C108="Profit",Fin_Analysis!I100,IF(Fin_Analysis!C108="Dividend",Fin_Analysis!I103,Fin_Analysis!I106))</f>
        <v>24.850949179995109</v>
      </c>
      <c r="E29" s="87"/>
      <c r="F29" s="131">
        <f>IF(Fin_Analysis!C108="Profit",Fin_Analysis!F100,IF(Fin_Analysis!C108="Dividend",Fin_Analysis!F103,Fin_Analysis!F106))</f>
        <v>14.687646459631321</v>
      </c>
      <c r="G29" s="270">
        <f>IF(Fin_Analysis!C108="Profit",Fin_Analysis!E100,IF(Fin_Analysis!C108="Dividend",Fin_Analysis!E103,Fin_Analysis!E106))</f>
        <v>12.395440410984637</v>
      </c>
      <c r="H29" s="270"/>
    </row>
    <row r="30" spans="1:8" ht="15.75" customHeight="1" x14ac:dyDescent="0.15"/>
    <row r="31" spans="1:8" ht="15.75" customHeight="1" x14ac:dyDescent="0.2">
      <c r="A31" s="5"/>
      <c r="B31" s="6" t="s">
        <v>227</v>
      </c>
      <c r="C31"/>
    </row>
    <row r="32" spans="1:8" ht="15.75" customHeight="1" x14ac:dyDescent="0.15">
      <c r="A32"/>
      <c r="B32" s="197" t="s">
        <v>228</v>
      </c>
      <c r="C32" s="225"/>
    </row>
    <row r="33" spans="1:3" ht="15.75" customHeight="1" x14ac:dyDescent="0.15">
      <c r="A33"/>
      <c r="B33" s="20" t="s">
        <v>229</v>
      </c>
      <c r="C33" s="246" t="str">
        <f>Inputs!C17</f>
        <v>Strongly agree</v>
      </c>
    </row>
    <row r="34" spans="1:3" ht="15.75" customHeight="1" x14ac:dyDescent="0.15">
      <c r="A34"/>
      <c r="B34" s="19" t="s">
        <v>230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15">
      <c r="A35"/>
      <c r="B35" s="197" t="s">
        <v>231</v>
      </c>
      <c r="C35" s="225"/>
    </row>
    <row r="36" spans="1:3" ht="15.75" customHeight="1" x14ac:dyDescent="0.15">
      <c r="A36"/>
      <c r="B36" s="20" t="s">
        <v>247</v>
      </c>
      <c r="C36" s="246" t="str">
        <f>Inputs!C18</f>
        <v>unclear</v>
      </c>
    </row>
    <row r="37" spans="1:3" ht="15.75" customHeight="1" x14ac:dyDescent="0.15">
      <c r="A37"/>
      <c r="B37" s="20" t="s">
        <v>248</v>
      </c>
      <c r="C37" s="246" t="str">
        <f>Inputs!C19</f>
        <v>agree</v>
      </c>
    </row>
    <row r="38" spans="1:3" ht="15.75" customHeight="1" x14ac:dyDescent="0.15">
      <c r="A38"/>
      <c r="B38" s="197" t="s">
        <v>232</v>
      </c>
      <c r="C38" s="225"/>
    </row>
    <row r="39" spans="1:3" ht="15.75" customHeight="1" x14ac:dyDescent="0.15">
      <c r="A39"/>
      <c r="B39" s="19" t="s">
        <v>233</v>
      </c>
      <c r="C39" s="246" t="str">
        <f>Inputs!C20</f>
        <v>agree</v>
      </c>
    </row>
    <row r="40" spans="1:3" ht="15.75" customHeight="1" x14ac:dyDescent="0.15">
      <c r="A40"/>
      <c r="B40" s="1" t="s">
        <v>239</v>
      </c>
      <c r="C40" s="246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234</v>
      </c>
      <c r="C42"/>
    </row>
    <row r="43" spans="1:3" ht="70" x14ac:dyDescent="0.15">
      <c r="A43"/>
      <c r="B43" s="227" t="s">
        <v>235</v>
      </c>
      <c r="C43" s="245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45382</v>
      </c>
      <c r="E3" s="147" t="s">
        <v>204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205</v>
      </c>
      <c r="F4" s="93">
        <f>(G3/F3)^(1/H3)-1</f>
        <v>2.6678764368153862E-2</v>
      </c>
      <c r="J4" s="87"/>
    </row>
    <row r="5" spans="1:14" ht="15.75" customHeight="1" x14ac:dyDescent="0.15">
      <c r="A5" s="16"/>
      <c r="B5" s="115" t="s">
        <v>135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249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250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241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251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124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243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130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136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150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139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140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138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142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160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263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242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131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244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148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149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52" sqref="E5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15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4" x14ac:dyDescent="0.15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4" x14ac:dyDescent="0.15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4" x14ac:dyDescent="0.15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15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15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15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152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0">
        <f>I15+I34</f>
        <v>2034922</v>
      </c>
      <c r="E56" s="278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4" x14ac:dyDescent="0.15">
      <c r="B62" s="35" t="s">
        <v>141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4" x14ac:dyDescent="0.15">
      <c r="B63" s="19" t="s">
        <v>143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thickBot="1" x14ac:dyDescent="0.2">
      <c r="B64" s="121" t="s">
        <v>153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thickTop="1" x14ac:dyDescent="0.15">
      <c r="B65" s="3" t="s">
        <v>144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142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thickBot="1" x14ac:dyDescent="0.2">
      <c r="B69" s="121" t="s">
        <v>154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thickTop="1" x14ac:dyDescent="0.15">
      <c r="B70" s="19" t="s">
        <v>145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15">
      <c r="A72" s="5"/>
      <c r="B72" s="106" t="s">
        <v>129</v>
      </c>
      <c r="C72" s="267">
        <f>Data!C5</f>
        <v>45382</v>
      </c>
      <c r="D72" s="267"/>
      <c r="E72" s="281" t="s">
        <v>210</v>
      </c>
      <c r="F72" s="281"/>
      <c r="H72" s="281" t="s">
        <v>209</v>
      </c>
      <c r="I72" s="281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15">
      <c r="B74" s="3" t="s">
        <v>128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15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15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15">
      <c r="B77" s="104" t="s">
        <v>258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15">
      <c r="B78" s="73" t="s">
        <v>175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15">
      <c r="B79" s="257" t="s">
        <v>240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15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133</v>
      </c>
    </row>
    <row r="81" spans="1:11" ht="15" customHeight="1" x14ac:dyDescent="0.15">
      <c r="B81" s="104" t="s">
        <v>124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15">
      <c r="B82" s="28" t="s">
        <v>257</v>
      </c>
      <c r="C82" s="77">
        <f>MAX(MAX(Data!C21,0)-MAX(Data!C19,0),0)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2">
      <c r="B83" s="105" t="s">
        <v>127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167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15">
      <c r="B86" s="87" t="s">
        <v>163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15">
      <c r="B87" s="87" t="s">
        <v>212</v>
      </c>
      <c r="C87" s="262">
        <f>C86*Exchange_Rate/Dashboard!G3</f>
        <v>8.3452028397290379E-2</v>
      </c>
      <c r="D87" s="210"/>
      <c r="E87" s="263">
        <f>E86*Exchange_Rate/Dashboard!G3</f>
        <v>7.7028596335762409E-2</v>
      </c>
      <c r="F87" s="210"/>
      <c r="H87" s="263">
        <f>H86*Exchange_Rate/Dashboard!G3</f>
        <v>9.6285745419702862E-2</v>
      </c>
      <c r="I87" s="210"/>
      <c r="K87" s="24"/>
    </row>
    <row r="88" spans="1:11" ht="15" customHeight="1" x14ac:dyDescent="0.15">
      <c r="B88" s="86" t="s">
        <v>211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15">
      <c r="B89" s="87" t="s">
        <v>226</v>
      </c>
      <c r="C89" s="262">
        <f>C88*Exchange_Rate/Dashboard!G3</f>
        <v>9.1520863487294393E-2</v>
      </c>
      <c r="D89" s="210"/>
      <c r="E89" s="262">
        <f>E88*Exchange_Rate/Dashboard!G3</f>
        <v>6.7294752564187058E-2</v>
      </c>
      <c r="F89" s="210"/>
      <c r="H89" s="262">
        <f>H88*Exchange_Rate/Dashboard!G3</f>
        <v>7.4024227820605776E-2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157</v>
      </c>
      <c r="C91" s="21"/>
      <c r="K91" s="50" t="s">
        <v>134</v>
      </c>
    </row>
    <row r="92" spans="1:11" ht="15" customHeight="1" x14ac:dyDescent="0.15">
      <c r="B92" s="10" t="s">
        <v>158</v>
      </c>
      <c r="C92" s="199" t="str">
        <f>Inputs!C15</f>
        <v>HK</v>
      </c>
      <c r="D92" s="10" t="s">
        <v>159</v>
      </c>
      <c r="E92" s="281" t="s">
        <v>210</v>
      </c>
      <c r="F92" s="281"/>
      <c r="G92" s="87"/>
      <c r="H92" s="281" t="s">
        <v>209</v>
      </c>
      <c r="I92" s="281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>
        <f>FV(E87,D93,0,-(E86/C93))</f>
        <v>25.134081564660359</v>
      </c>
      <c r="H93" s="87" t="s">
        <v>213</v>
      </c>
      <c r="I93" s="144">
        <f>FV(H87,D93,0,-(H86/C93))</f>
        <v>34.328568734604822</v>
      </c>
      <c r="K93" s="24"/>
    </row>
    <row r="94" spans="1:11" ht="15" customHeight="1" x14ac:dyDescent="0.15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20.983500298435189</v>
      </c>
      <c r="H94" s="87" t="s">
        <v>214</v>
      </c>
      <c r="I94" s="144">
        <f>FV(H89,D93,0,-(H88/C93))</f>
        <v>23.818759592815184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15">
      <c r="B97" s="1" t="s">
        <v>132</v>
      </c>
      <c r="C97" s="91">
        <f>H97*Common_Shares/Data!C4</f>
        <v>10020384.399452206</v>
      </c>
      <c r="D97" s="214"/>
      <c r="E97" s="123">
        <f>PV(C94,D93,0,-F93)*Exchange_Rate</f>
        <v>12.496080617038771</v>
      </c>
      <c r="F97" s="214"/>
      <c r="H97" s="123">
        <f>PV(C94,D93,0,-I93)*Exchange_Rate</f>
        <v>17.067365730933773</v>
      </c>
      <c r="I97" s="123">
        <f>PV(C93,D93,0,-I93)*Exchange_Rate</f>
        <v>24.938462402650877</v>
      </c>
      <c r="K97" s="24"/>
    </row>
    <row r="98" spans="2:11" ht="15" customHeight="1" x14ac:dyDescent="0.15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147</v>
      </c>
      <c r="C99" s="108">
        <f>(E65-IF(E70&lt;0,MIN(E65,ABS(E70)),0))*Exchange_Rate</f>
        <v>-51379.699999999953</v>
      </c>
      <c r="D99" s="215"/>
      <c r="E99" s="146">
        <f>IF(H99&gt;0,H99*0.85,H99*1.15)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9969004.6994522065</v>
      </c>
      <c r="D100" s="109">
        <f>MIN(F100*(1-C94),E100)</f>
        <v>12.395440410984637</v>
      </c>
      <c r="E100" s="109">
        <f>MAX(E97-H98+E99,0)</f>
        <v>12.395440410984637</v>
      </c>
      <c r="F100" s="109">
        <f>(E100+H100)/2</f>
        <v>14.687646459631321</v>
      </c>
      <c r="H100" s="109">
        <f>MAX(C100*Data!$C$4/Common_Shares,0)</f>
        <v>16.979852508278004</v>
      </c>
      <c r="I100" s="109">
        <f>MAX(I97-H98+H99,0)</f>
        <v>24.850949179995109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15">
      <c r="B103" s="1" t="s">
        <v>164</v>
      </c>
      <c r="C103" s="91">
        <f>H103*Common_Shares/Data!C4</f>
        <v>6952609.323253084</v>
      </c>
      <c r="D103" s="109">
        <f>MIN(F103*(1-C94),E103)</f>
        <v>9.4667225553548846</v>
      </c>
      <c r="E103" s="123">
        <f>PV(C94,D93,0,-F94)*Exchange_Rate</f>
        <v>10.432508173506699</v>
      </c>
      <c r="F103" s="109">
        <f>(E103+H103)/2</f>
        <v>11.137320653358689</v>
      </c>
      <c r="H103" s="123">
        <f>PV(C94,D93,0,-I94)*Exchange_Rate</f>
        <v>11.842133133210677</v>
      </c>
      <c r="I103" s="109">
        <f>PV(C93,D93,0,-I94)*Exchange_Rate</f>
        <v>17.303466543433778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15">
      <c r="B106" s="1" t="s">
        <v>202</v>
      </c>
      <c r="C106" s="91">
        <f>E106*Common_Shares/Data!C4</f>
        <v>6701233.9066756265</v>
      </c>
      <c r="D106" s="109">
        <f>(D100+D103)/2</f>
        <v>10.931081483169761</v>
      </c>
      <c r="E106" s="123">
        <f>(E100+E103)/2</f>
        <v>11.413974292245669</v>
      </c>
      <c r="F106" s="109">
        <f>(F100+F103)/2</f>
        <v>12.912483556495005</v>
      </c>
      <c r="H106" s="123">
        <f>(H100+H103)/2</f>
        <v>14.41099282074434</v>
      </c>
      <c r="I106" s="123">
        <f>(I100+I103)/2</f>
        <v>21.077207861714442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2024-11-27T17:02:46Z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