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templates/"/>
    </mc:Choice>
  </mc:AlternateContent>
  <xr:revisionPtr revIDLastSave="0" documentId="13_ncr:1_{602963F0-8F4E-1C4B-A055-A5B262B5B40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6" i="4" l="1"/>
  <c r="F95" i="4"/>
  <c r="F93" i="4"/>
  <c r="E91" i="4"/>
  <c r="D16" i="1"/>
  <c r="D45" i="4" l="1"/>
  <c r="E45" i="4"/>
  <c r="F45" i="4"/>
  <c r="G45" i="4"/>
  <c r="H45" i="4"/>
  <c r="I45" i="4"/>
  <c r="J45" i="4"/>
  <c r="K45" i="4"/>
  <c r="L45" i="4"/>
  <c r="M45" i="4"/>
  <c r="C45" i="4"/>
  <c r="D33" i="2"/>
  <c r="C43" i="1"/>
  <c r="C40" i="1"/>
  <c r="C39" i="1"/>
  <c r="C37" i="1"/>
  <c r="C36" i="1"/>
  <c r="C33" i="1"/>
  <c r="C98" i="4"/>
  <c r="D93" i="3"/>
  <c r="C108" i="3"/>
  <c r="C97" i="4"/>
  <c r="C96" i="4"/>
  <c r="C95" i="4"/>
  <c r="C94" i="4"/>
  <c r="C93" i="4"/>
  <c r="C92" i="4"/>
  <c r="C91" i="4"/>
  <c r="F98" i="4" l="1"/>
  <c r="F91" i="4"/>
  <c r="D98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82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E93" i="4" s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2" i="4" l="1"/>
  <c r="H75" i="3" s="1"/>
  <c r="H77" i="3"/>
  <c r="E74" i="3"/>
  <c r="F97" i="4"/>
  <c r="H78" i="3" s="1"/>
  <c r="H82" i="3"/>
  <c r="H80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I82" i="3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80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5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H83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I83" i="3" l="1"/>
  <c r="C26" i="1" s="1"/>
  <c r="H85" i="3"/>
  <c r="C24" i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I85" i="3" l="1"/>
  <c r="H86" i="3"/>
  <c r="G23" i="1"/>
  <c r="E53" i="3" s="1"/>
  <c r="C27" i="2"/>
  <c r="C37" i="2"/>
  <c r="H87" i="3" l="1"/>
  <c r="I93" i="3" s="1"/>
  <c r="G24" i="1"/>
  <c r="I88" i="3"/>
  <c r="G25" i="1" s="1"/>
  <c r="C53" i="2"/>
  <c r="D6" i="3"/>
  <c r="C98" i="3"/>
  <c r="H98" i="3" s="1"/>
  <c r="H97" i="3" l="1"/>
  <c r="C97" i="3" s="1"/>
  <c r="C100" i="3" s="1"/>
  <c r="H100" i="3" s="1"/>
  <c r="H106" i="3" s="1"/>
  <c r="I97" i="3"/>
  <c r="I100" i="3" s="1"/>
  <c r="D95" i="4"/>
  <c r="E95" i="4" s="1"/>
  <c r="E82" i="3" s="1"/>
  <c r="E83" i="3" s="1"/>
  <c r="D53" i="3"/>
  <c r="D7" i="3"/>
  <c r="D52" i="3"/>
  <c r="E6" i="3" l="1"/>
  <c r="F82" i="3" l="1"/>
  <c r="E85" i="3"/>
  <c r="E86" i="3" s="1"/>
  <c r="F83" i="3" l="1"/>
  <c r="F88" i="3"/>
  <c r="E87" i="3"/>
  <c r="F85" i="3"/>
  <c r="F93" i="3" l="1"/>
  <c r="E97" i="3" s="1"/>
  <c r="E100" i="3" s="1"/>
  <c r="E106" i="3" l="1"/>
  <c r="G29" i="1" s="1"/>
  <c r="F100" i="3"/>
  <c r="D100" i="3" l="1"/>
  <c r="C29" i="1" s="1"/>
  <c r="C106" i="3"/>
  <c r="I106" i="3"/>
  <c r="D29" i="1" s="1"/>
  <c r="F106" i="3"/>
  <c r="F29" i="1" s="1"/>
  <c r="D106" i="3" l="1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<sst xmlns="http://schemas.openxmlformats.org/spreadsheetml/2006/main" count="391" uniqueCount="269">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</sst>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11" sqref="C11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4" ht="16" x14ac:dyDescent="0.2">
      <c r="A2" s="5"/>
      <c r="B2" s="6" t="s">
        <v>219</v>
      </c>
    </row>
    <row r="4" spans="1:4" ht="14" x14ac:dyDescent="0.15">
      <c r="B4" s="141" t="s">
        <v>198</v>
      </c>
      <c r="C4" s="189" t="s">
        <v>252</v>
      </c>
    </row>
    <row r="5" spans="1:4" ht="14" x14ac:dyDescent="0.15">
      <c r="B5" s="141" t="s">
        <v>199</v>
      </c>
      <c r="C5" s="192" t="s">
        <v>267</v>
      </c>
    </row>
    <row r="6" spans="1:4" ht="14" x14ac:dyDescent="0.15">
      <c r="B6" s="141" t="s">
        <v>166</v>
      </c>
      <c r="C6" s="190">
        <v>45593</v>
      </c>
    </row>
    <row r="7" spans="1:4" ht="14" x14ac:dyDescent="0.15">
      <c r="B7" s="140" t="s">
        <v>4</v>
      </c>
      <c r="C7" s="191">
        <v>8</v>
      </c>
    </row>
    <row r="8" spans="1:4" ht="14" x14ac:dyDescent="0.15">
      <c r="B8" s="140" t="s">
        <v>220</v>
      </c>
      <c r="C8" s="192" t="s">
        <v>46</v>
      </c>
    </row>
    <row r="9" spans="1:4" ht="14" x14ac:dyDescent="0.15">
      <c r="B9" s="140" t="s">
        <v>221</v>
      </c>
      <c r="C9" s="193" t="s">
        <v>253</v>
      </c>
    </row>
    <row r="10" spans="1:4" ht="14" x14ac:dyDescent="0.15">
      <c r="B10" s="140" t="s">
        <v>222</v>
      </c>
      <c r="C10" s="194">
        <v>587107850</v>
      </c>
    </row>
    <row r="11" spans="1:4" ht="14" x14ac:dyDescent="0.15">
      <c r="B11" s="140" t="s">
        <v>223</v>
      </c>
      <c r="C11" s="193" t="s">
        <v>2</v>
      </c>
    </row>
    <row r="12" spans="1:4" ht="14" x14ac:dyDescent="0.15">
      <c r="B12" s="219" t="s">
        <v>10</v>
      </c>
      <c r="C12" s="220">
        <v>45291</v>
      </c>
    </row>
    <row r="13" spans="1:4" ht="14" x14ac:dyDescent="0.15">
      <c r="B13" s="219" t="s">
        <v>11</v>
      </c>
      <c r="C13" s="221">
        <v>1000</v>
      </c>
    </row>
    <row r="14" spans="1:4" ht="14" x14ac:dyDescent="0.15">
      <c r="B14" s="219" t="s">
        <v>224</v>
      </c>
      <c r="C14" s="220">
        <v>45473</v>
      </c>
    </row>
    <row r="15" spans="1:4" ht="14" x14ac:dyDescent="0.15">
      <c r="B15" s="219" t="s">
        <v>268</v>
      </c>
      <c r="C15" s="177" t="s">
        <v>193</v>
      </c>
    </row>
    <row r="16" spans="1:4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229</v>
      </c>
      <c r="C17" s="243" t="s">
        <v>237</v>
      </c>
      <c r="D17" s="24"/>
    </row>
    <row r="18" spans="2:13" ht="14" x14ac:dyDescent="0.15">
      <c r="B18" s="241" t="s">
        <v>247</v>
      </c>
      <c r="C18" s="243" t="s">
        <v>256</v>
      </c>
      <c r="D18" s="24"/>
    </row>
    <row r="19" spans="2:13" ht="14" x14ac:dyDescent="0.15">
      <c r="B19" s="241" t="s">
        <v>248</v>
      </c>
      <c r="C19" s="243" t="s">
        <v>238</v>
      </c>
      <c r="D19" s="24"/>
    </row>
    <row r="20" spans="2:13" ht="14" x14ac:dyDescent="0.15">
      <c r="B20" s="242" t="s">
        <v>233</v>
      </c>
      <c r="C20" s="243" t="s">
        <v>238</v>
      </c>
      <c r="D20" s="24"/>
    </row>
    <row r="21" spans="2:13" ht="14" x14ac:dyDescent="0.15">
      <c r="B21" s="225" t="s">
        <v>239</v>
      </c>
      <c r="C21" s="243" t="s">
        <v>237</v>
      </c>
      <c r="D21" s="24"/>
    </row>
    <row r="22" spans="2:13" ht="84" x14ac:dyDescent="0.15">
      <c r="B22" s="227" t="s">
        <v>235</v>
      </c>
      <c r="C22" s="244" t="s">
        <v>236</v>
      </c>
      <c r="D22" s="24"/>
    </row>
    <row r="24" spans="2:13" ht="15" x14ac:dyDescent="0.15">
      <c r="B24" s="115" t="s">
        <v>135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5" x14ac:dyDescent="0.15">
      <c r="B26" s="97" t="s">
        <v>106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5" x14ac:dyDescent="0.15">
      <c r="B27" s="97" t="s">
        <v>104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5" x14ac:dyDescent="0.15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7" t="s">
        <v>124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4" x14ac:dyDescent="0.15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5" x14ac:dyDescent="0.15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150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139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140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138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211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4" x14ac:dyDescent="0.15">
      <c r="B45" s="74" t="s">
        <v>264</v>
      </c>
      <c r="C45" s="153" t="str">
        <f>IF(C44="","",C44/Dashboard!$G$3)</f>
        <v/>
      </c>
      <c r="D45" s="153" t="str">
        <f>IF(D44="","",D44/Dashboard!$G$3)</f>
        <v/>
      </c>
      <c r="E45" s="153" t="str">
        <f>IF(E44="","",E44/Dashboard!$G$3)</f>
        <v/>
      </c>
      <c r="F45" s="153" t="str">
        <f>IF(F44="","",F44/Dashboard!$G$3)</f>
        <v/>
      </c>
      <c r="G45" s="153" t="str">
        <f>IF(G44="","",G44/Dashboard!$G$3)</f>
        <v/>
      </c>
      <c r="H45" s="153" t="str">
        <f>IF(H44="","",H44/Dashboard!$G$3)</f>
        <v/>
      </c>
      <c r="I45" s="153" t="str">
        <f>IF(I44="","",I44/Dashboard!$G$3)</f>
        <v/>
      </c>
      <c r="J45" s="153" t="str">
        <f>IF(J44="","",J44/Dashboard!$G$3)</f>
        <v/>
      </c>
      <c r="K45" s="153" t="str">
        <f>IF(K44="","",K44/Dashboard!$G$3)</f>
        <v/>
      </c>
      <c r="L45" s="153" t="str">
        <f>IF(L44="","",L44/Dashboard!$G$3)</f>
        <v/>
      </c>
      <c r="M45" s="153" t="str">
        <f>IF(M44="","",M44/Dashboard!$G$3)</f>
        <v/>
      </c>
    </row>
    <row r="47" spans="2:13" ht="14" x14ac:dyDescent="0.15">
      <c r="B47" s="10" t="s">
        <v>260</v>
      </c>
      <c r="C47" s="195" t="s">
        <v>34</v>
      </c>
      <c r="D47" s="195" t="s">
        <v>200</v>
      </c>
      <c r="E47" s="111" t="s">
        <v>36</v>
      </c>
    </row>
    <row r="48" spans="2:13" ht="14" x14ac:dyDescent="0.15">
      <c r="B48" s="3" t="s">
        <v>38</v>
      </c>
      <c r="C48" s="59"/>
      <c r="D48" s="60">
        <v>0.9</v>
      </c>
      <c r="E48" s="112"/>
    </row>
    <row r="49" spans="2:5" ht="14" x14ac:dyDescent="0.15">
      <c r="B49" s="1" t="s">
        <v>137</v>
      </c>
      <c r="C49" s="59"/>
      <c r="D49" s="60">
        <v>0.8</v>
      </c>
      <c r="E49" s="112"/>
    </row>
    <row r="50" spans="2:5" ht="14" x14ac:dyDescent="0.15">
      <c r="B50" s="3" t="s">
        <v>117</v>
      </c>
      <c r="C50" s="59"/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161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/>
      <c r="D54" s="60">
        <v>0.1</v>
      </c>
      <c r="E54" s="112"/>
    </row>
    <row r="55" spans="2:5" ht="14" x14ac:dyDescent="0.15">
      <c r="B55" s="3" t="s">
        <v>47</v>
      </c>
      <c r="C55" s="59"/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6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162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2" t="s">
        <v>71</v>
      </c>
    </row>
    <row r="66" spans="2:5" ht="14" x14ac:dyDescent="0.15">
      <c r="B66" s="3" t="s">
        <v>72</v>
      </c>
      <c r="C66" s="59"/>
      <c r="D66" s="60">
        <v>0.2</v>
      </c>
      <c r="E66" s="222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/>
      <c r="D70" s="60">
        <v>0.05</v>
      </c>
      <c r="E70" s="112"/>
    </row>
    <row r="71" spans="2:5" ht="14" x14ac:dyDescent="0.15">
      <c r="B71" s="3" t="s">
        <v>75</v>
      </c>
      <c r="C71" s="59"/>
      <c r="D71" s="60">
        <f>D58</f>
        <v>0.9</v>
      </c>
      <c r="E71" s="112"/>
    </row>
    <row r="72" spans="2:5" ht="15" thickBot="1" x14ac:dyDescent="0.2">
      <c r="B72" s="247" t="s">
        <v>76</v>
      </c>
      <c r="C72" s="248"/>
      <c r="D72" s="249">
        <v>0</v>
      </c>
      <c r="E72" s="250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225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261</v>
      </c>
      <c r="C86" s="198">
        <v>5</v>
      </c>
    </row>
    <row r="87" spans="2:8" ht="14" x14ac:dyDescent="0.15">
      <c r="B87" s="10" t="s">
        <v>259</v>
      </c>
      <c r="C87" s="237" t="s">
        <v>262</v>
      </c>
    </row>
    <row r="89" spans="2:8" ht="14" x14ac:dyDescent="0.15">
      <c r="B89" s="106" t="s">
        <v>129</v>
      </c>
      <c r="C89" s="267">
        <f>C24</f>
        <v>45291</v>
      </c>
      <c r="D89" s="267"/>
      <c r="E89" s="89" t="s">
        <v>210</v>
      </c>
      <c r="F89" s="50" t="s">
        <v>209</v>
      </c>
      <c r="H89" s="31"/>
    </row>
    <row r="90" spans="2:8" ht="14" x14ac:dyDescent="0.15">
      <c r="B90" s="12" t="str">
        <f>"(Numbers in "&amp;Data!C4&amp;Dashboard!G6&amp;")"</f>
        <v>(Numbers in 1000HKD)</v>
      </c>
      <c r="C90" s="268" t="s">
        <v>101</v>
      </c>
      <c r="D90" s="268"/>
      <c r="E90" s="236" t="s">
        <v>102</v>
      </c>
      <c r="F90" s="256" t="s">
        <v>102</v>
      </c>
    </row>
    <row r="91" spans="2:8" ht="14" x14ac:dyDescent="0.15">
      <c r="B91" s="3" t="s">
        <v>128</v>
      </c>
      <c r="C91" s="77">
        <f>C25</f>
        <v>0</v>
      </c>
      <c r="D91" s="210"/>
      <c r="E91" s="252">
        <f>C91</f>
        <v>0</v>
      </c>
      <c r="F91" s="252">
        <f>C91</f>
        <v>0</v>
      </c>
    </row>
    <row r="92" spans="2:8" ht="14" x14ac:dyDescent="0.15">
      <c r="B92" s="104" t="s">
        <v>106</v>
      </c>
      <c r="C92" s="77">
        <f>C26</f>
        <v>0</v>
      </c>
      <c r="D92" s="160" t="e">
        <f>C92/C91</f>
        <v>#DIV/0!</v>
      </c>
      <c r="E92" s="253" t="e">
        <f>E91*D92</f>
        <v>#DIV/0!</v>
      </c>
      <c r="F92" s="253" t="e">
        <f>F91*D92</f>
        <v>#DIV/0!</v>
      </c>
    </row>
    <row r="93" spans="2:8" ht="14" x14ac:dyDescent="0.15">
      <c r="B93" s="104" t="s">
        <v>258</v>
      </c>
      <c r="C93" s="77">
        <f>C27+C28</f>
        <v>0</v>
      </c>
      <c r="D93" s="160" t="e">
        <f>C93/C91</f>
        <v>#DIV/0!</v>
      </c>
      <c r="E93" s="253" t="e">
        <f>E91*D93</f>
        <v>#DIV/0!</v>
      </c>
      <c r="F93" s="253" t="e">
        <f>F91*D93</f>
        <v>#DIV/0!</v>
      </c>
    </row>
    <row r="94" spans="2:8" ht="14" x14ac:dyDescent="0.15">
      <c r="B94" s="104" t="s">
        <v>124</v>
      </c>
      <c r="C94" s="77">
        <f>C29</f>
        <v>0</v>
      </c>
      <c r="D94" s="160" t="e">
        <f>C94/C91</f>
        <v>#DIV/0!</v>
      </c>
      <c r="E94" s="254"/>
      <c r="F94" s="253" t="e">
        <f>F91*D94</f>
        <v>#DIV/0!</v>
      </c>
    </row>
    <row r="95" spans="2:8" ht="14" x14ac:dyDescent="0.15">
      <c r="B95" s="28" t="s">
        <v>257</v>
      </c>
      <c r="C95" s="77">
        <f>C33-C32</f>
        <v>0</v>
      </c>
      <c r="D95" s="160" t="e">
        <f>C95/C91</f>
        <v>#DIV/0!</v>
      </c>
      <c r="E95" s="253" t="e">
        <f>E91*D95</f>
        <v>#DIV/0!</v>
      </c>
      <c r="F95" s="253" t="e">
        <f>F91*D95</f>
        <v>#DIV/0!</v>
      </c>
    </row>
    <row r="96" spans="2:8" ht="14" x14ac:dyDescent="0.15">
      <c r="B96" s="28" t="s">
        <v>110</v>
      </c>
      <c r="C96" s="77">
        <f>C31</f>
        <v>0</v>
      </c>
      <c r="D96" s="160" t="e">
        <f>C96/C91</f>
        <v>#DIV/0!</v>
      </c>
      <c r="E96" s="254"/>
      <c r="F96" s="253" t="e">
        <f>F91*D96</f>
        <v>#DIV/0!</v>
      </c>
    </row>
    <row r="97" spans="2:7" ht="14" x14ac:dyDescent="0.15">
      <c r="B97" s="73" t="s">
        <v>175</v>
      </c>
      <c r="C97" s="77">
        <f>MAX(C30,0)</f>
        <v>0</v>
      </c>
      <c r="D97" s="160" t="e">
        <f>C97/C91</f>
        <v>#DIV/0!</v>
      </c>
      <c r="E97" s="254"/>
      <c r="F97" s="253" t="e">
        <f>F91*D97</f>
        <v>#DIV/0!</v>
      </c>
    </row>
    <row r="98" spans="2:7" ht="14" x14ac:dyDescent="0.15">
      <c r="B98" s="86" t="s">
        <v>211</v>
      </c>
      <c r="C98" s="238">
        <f>C44</f>
        <v>0</v>
      </c>
      <c r="D98" s="167" t="e">
        <f>C98/C96</f>
        <v>#DIV/0!</v>
      </c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8" sqref="D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15">
      <c r="B3" s="3" t="s">
        <v>198</v>
      </c>
      <c r="C3" s="273" t="str">
        <f>Inputs!C4</f>
        <v>0590.HK</v>
      </c>
      <c r="D3" s="274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15">
      <c r="B4" s="35" t="s">
        <v>199</v>
      </c>
      <c r="C4" s="275" t="str">
        <f>Inputs!C5</f>
        <v>Template</v>
      </c>
      <c r="D4" s="276"/>
      <c r="E4" s="87"/>
      <c r="F4" s="3" t="s">
        <v>3</v>
      </c>
      <c r="G4" s="279">
        <f>Inputs!C10</f>
        <v>587107850</v>
      </c>
      <c r="H4" s="279"/>
      <c r="I4" s="39"/>
    </row>
    <row r="5" spans="1:10" ht="15.75" customHeight="1" x14ac:dyDescent="0.15">
      <c r="B5" s="3" t="s">
        <v>166</v>
      </c>
      <c r="C5" s="277">
        <f>Inputs!C6</f>
        <v>45593</v>
      </c>
      <c r="D5" s="278"/>
      <c r="E5" s="34"/>
      <c r="F5" s="35" t="s">
        <v>100</v>
      </c>
      <c r="G5" s="271">
        <f>G3*G4/1000000</f>
        <v>8677.4538662252908</v>
      </c>
      <c r="H5" s="271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2" t="str">
        <f>Inputs!C11</f>
        <v>HKD</v>
      </c>
      <c r="H6" s="272"/>
      <c r="I6" s="38"/>
    </row>
    <row r="7" spans="1:10" ht="15.75" customHeight="1" x14ac:dyDescent="0.15">
      <c r="B7" s="86" t="s">
        <v>196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194</v>
      </c>
      <c r="F9" s="143" t="s">
        <v>189</v>
      </c>
    </row>
    <row r="10" spans="1:10" ht="15.75" customHeight="1" x14ac:dyDescent="0.15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2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15">
      <c r="B12" s="87" t="s">
        <v>265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15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2">
      <c r="B16" s="122" t="s">
        <v>191</v>
      </c>
      <c r="C16" s="174">
        <v>0.16</v>
      </c>
      <c r="D16" s="266" t="str">
        <f>Inputs!C15</f>
        <v>HK</v>
      </c>
      <c r="F16" s="110" t="s">
        <v>182</v>
      </c>
    </row>
    <row r="17" spans="1:8" ht="15.75" customHeight="1" thickTop="1" x14ac:dyDescent="0.15">
      <c r="B17" s="87" t="s">
        <v>266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15">
      <c r="B20" s="137" t="s">
        <v>172</v>
      </c>
      <c r="C20" s="172" t="e">
        <f>Fin_Analysis!I75</f>
        <v>#DIV/0!</v>
      </c>
      <c r="F20" s="87" t="s">
        <v>215</v>
      </c>
      <c r="G20" s="173">
        <v>0.15</v>
      </c>
    </row>
    <row r="21" spans="1:8" ht="15.75" customHeight="1" x14ac:dyDescent="0.15">
      <c r="B21" s="137" t="s">
        <v>255</v>
      </c>
      <c r="C21" s="172" t="e">
        <f>Fin_Analysis!I77</f>
        <v>#DIV/0!</v>
      </c>
      <c r="F21" s="87"/>
      <c r="G21" s="29"/>
    </row>
    <row r="22" spans="1:8" ht="15.75" customHeight="1" x14ac:dyDescent="0.15">
      <c r="B22" s="137" t="s">
        <v>195</v>
      </c>
      <c r="C22" s="172" t="e">
        <f>Fin_Analysis!I78</f>
        <v>#DIV/0!</v>
      </c>
      <c r="F22" s="142" t="s">
        <v>188</v>
      </c>
    </row>
    <row r="23" spans="1:8" ht="15.75" customHeight="1" x14ac:dyDescent="0.15">
      <c r="B23" s="137" t="s">
        <v>174</v>
      </c>
      <c r="C23" s="172" t="e">
        <f>Fin_Analysis!I80</f>
        <v>#DIV/0!</v>
      </c>
      <c r="F23" s="140" t="s">
        <v>192</v>
      </c>
      <c r="G23" s="178" t="e">
        <f>G3/(Data!C36*Data!C4/Common_Shares*Exchange_Rate)</f>
        <v>#DIV/0!</v>
      </c>
    </row>
    <row r="24" spans="1:8" ht="15.75" customHeight="1" x14ac:dyDescent="0.15">
      <c r="B24" s="137" t="s">
        <v>173</v>
      </c>
      <c r="C24" s="172" t="e">
        <f>Fin_Analysis!I81</f>
        <v>#DIV/0!</v>
      </c>
      <c r="F24" s="140" t="s">
        <v>178</v>
      </c>
      <c r="G24" s="179" t="e">
        <f>(Fin_Analysis!H86*G7)/G3</f>
        <v>#DIV/0!</v>
      </c>
    </row>
    <row r="25" spans="1:8" ht="15.75" customHeight="1" x14ac:dyDescent="0.15">
      <c r="B25" s="137" t="s">
        <v>254</v>
      </c>
      <c r="C25" s="172" t="e">
        <f>Fin_Analysis!I82</f>
        <v>#DIV/0!</v>
      </c>
      <c r="F25" s="140" t="s">
        <v>177</v>
      </c>
      <c r="G25" s="172" t="e">
        <f>Fin_Analysis!I88</f>
        <v>#DIV/0!</v>
      </c>
    </row>
    <row r="26" spans="1:8" ht="15.75" customHeight="1" x14ac:dyDescent="0.15">
      <c r="B26" s="138" t="s">
        <v>176</v>
      </c>
      <c r="C26" s="172" t="e">
        <f>Fin_Analysis!I83</f>
        <v>#DIV/0!</v>
      </c>
      <c r="F26" s="141" t="s">
        <v>197</v>
      </c>
      <c r="G26" s="179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169</v>
      </c>
      <c r="D28" s="43" t="s">
        <v>170</v>
      </c>
      <c r="E28" s="58"/>
      <c r="F28" s="53" t="s">
        <v>245</v>
      </c>
      <c r="G28" s="269" t="s">
        <v>246</v>
      </c>
      <c r="H28" s="269"/>
    </row>
    <row r="29" spans="1:8" ht="15.75" customHeight="1" x14ac:dyDescent="0.15">
      <c r="B29" s="87" t="s">
        <v>171</v>
      </c>
      <c r="C29" s="130" t="e">
        <f>IF(Fin_Analysis!C108="Profit",Fin_Analysis!D100,IF(Fin_Analysis!C108="Dividend",Fin_Analysis!D103,Fin_Analysis!D106))</f>
        <v>#DIV/0!</v>
      </c>
      <c r="D29" s="129" t="e">
        <f>IF(Fin_Analysis!C108="Profit",Fin_Analysis!I100,IF(Fin_Analysis!C108="Dividend",Fin_Analysis!I103,Fin_Analysis!I106))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0" t="e">
        <f>IF(Fin_Analysis!C108="Profit",Fin_Analysis!E100,IF(Fin_Analysis!C108="Dividend",Fin_Analysis!E103,Fin_Analysis!E106))</f>
        <v>#DIV/0!</v>
      </c>
      <c r="H29" s="270"/>
    </row>
    <row r="30" spans="1:8" ht="15.75" customHeight="1" x14ac:dyDescent="0.15"/>
    <row r="31" spans="1:8" ht="15.75" customHeight="1" x14ac:dyDescent="0.2">
      <c r="A31" s="5"/>
      <c r="B31" s="6" t="s">
        <v>227</v>
      </c>
      <c r="C31"/>
    </row>
    <row r="32" spans="1:8" ht="15.75" customHeight="1" x14ac:dyDescent="0.15">
      <c r="A32"/>
      <c r="B32" s="197" t="s">
        <v>228</v>
      </c>
      <c r="C32" s="225"/>
    </row>
    <row r="33" spans="1:3" ht="15.75" customHeight="1" x14ac:dyDescent="0.15">
      <c r="A33"/>
      <c r="B33" s="20" t="s">
        <v>229</v>
      </c>
      <c r="C33" s="246" t="str">
        <f>Inputs!C17</f>
        <v>Strongly agree</v>
      </c>
    </row>
    <row r="34" spans="1:3" ht="15.75" customHeight="1" x14ac:dyDescent="0.15">
      <c r="A34"/>
      <c r="B34" s="19" t="s">
        <v>230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7" t="s">
        <v>231</v>
      </c>
      <c r="C35" s="225"/>
    </row>
    <row r="36" spans="1:3" ht="15.75" customHeight="1" x14ac:dyDescent="0.15">
      <c r="A36"/>
      <c r="B36" s="20" t="s">
        <v>247</v>
      </c>
      <c r="C36" s="246" t="str">
        <f>Inputs!C18</f>
        <v>unclear</v>
      </c>
    </row>
    <row r="37" spans="1:3" ht="15.75" customHeight="1" x14ac:dyDescent="0.15">
      <c r="A37"/>
      <c r="B37" s="20" t="s">
        <v>248</v>
      </c>
      <c r="C37" s="246" t="str">
        <f>Inputs!C19</f>
        <v>agree</v>
      </c>
    </row>
    <row r="38" spans="1:3" ht="15.75" customHeight="1" x14ac:dyDescent="0.15">
      <c r="A38"/>
      <c r="B38" s="197" t="s">
        <v>232</v>
      </c>
      <c r="C38" s="225"/>
    </row>
    <row r="39" spans="1:3" ht="15.75" customHeight="1" x14ac:dyDescent="0.15">
      <c r="A39"/>
      <c r="B39" s="19" t="s">
        <v>233</v>
      </c>
      <c r="C39" s="246" t="str">
        <f>Inputs!C20</f>
        <v>agree</v>
      </c>
    </row>
    <row r="40" spans="1:3" ht="15.75" customHeight="1" x14ac:dyDescent="0.15">
      <c r="A40"/>
      <c r="B40" s="1" t="s">
        <v>239</v>
      </c>
      <c r="C40" s="246" t="str">
        <f>Inputs!C21</f>
        <v>Strongly agree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234</v>
      </c>
      <c r="C42"/>
    </row>
    <row r="43" spans="1:3" ht="70" x14ac:dyDescent="0.15">
      <c r="A43"/>
      <c r="B43" s="227" t="s">
        <v>235</v>
      </c>
      <c r="C43" s="245" t="str">
        <f>Inputs!C22</f>
        <v>Consumer Monopoly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H15" sqref="H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45291</v>
      </c>
      <c r="E3" s="147" t="s">
        <v>204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205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135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1" t="str">
        <f>IF(Inputs!C25=""," ",Inputs!C25)</f>
        <v xml:space="preserve"> </v>
      </c>
      <c r="D6" s="201" t="str">
        <f>IF(Inputs!D25="","",Inputs!D25)</f>
        <v/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 t="str">
        <f>IF(Inputs!C26="","",Inputs!C26)</f>
        <v/>
      </c>
      <c r="D8" s="200" t="str">
        <f>IF(Inputs!D26="","",Inputs!D26)</f>
        <v/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 t="e">
        <f t="shared" ref="C9:M9" si="2">IF(C6="","",(C6-C8))</f>
        <v>#VALUE!</v>
      </c>
      <c r="D9" s="152" t="str">
        <f t="shared" si="2"/>
        <v/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 t="str">
        <f>IF(Inputs!C27="","",Inputs!C27)</f>
        <v/>
      </c>
      <c r="D10" s="200" t="str">
        <f>IF(Inputs!D27="","",Inputs!D27)</f>
        <v/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249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250</v>
      </c>
      <c r="C13" s="230" t="e">
        <f t="shared" ref="C13:M13" si="3">IF(C14="","",C14/C6)</f>
        <v>#VALUE!</v>
      </c>
      <c r="D13" s="230" t="str">
        <f t="shared" si="3"/>
        <v/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241</v>
      </c>
      <c r="C14" s="231" t="e">
        <f>IF(C6="","",C9-C10-MAX(C11,0)-MAX(C12,0))</f>
        <v>#VALUE!</v>
      </c>
      <c r="D14" s="231" t="str">
        <f t="shared" ref="D14:M14" si="4">IF(D6="","",D9-D10-MAX(D11,0)-MAX(D12,0))</f>
        <v/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251</v>
      </c>
      <c r="C15" s="233" t="str">
        <f>IF(D14="","",IF(ABS(C14+D14)=ABS(C14)+ABS(D14),IF(C14&lt;0,-1,1)*(C14-D14)/D14,"Turn"))</f>
        <v/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124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243</v>
      </c>
      <c r="C20" s="153" t="e">
        <f t="shared" ref="C20:M20" si="7">IF(C6="","",MAX(C21,0)/C6)</f>
        <v>#VALUE!</v>
      </c>
      <c r="D20" s="153" t="str">
        <f t="shared" si="7"/>
        <v/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 t="e">
        <f>IF(C6="","",C14-MAX(C16,0)-MAX(C17,0)-ABS(MAX(C21,0)-MAX(C19,0)))</f>
        <v>#VALUE!</v>
      </c>
      <c r="D22" s="162" t="str">
        <f t="shared" ref="D22:M22" si="8">IF(D6="","",D14-MAX(D16,0)-MAX(D17,0)-ABS(MAX(D21,0)-MAX(D19,0)))</f>
        <v/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 t="e">
        <f t="shared" ref="C23:M23" si="9">IF(C6="","",C24/C6)</f>
        <v>#VALUE!</v>
      </c>
      <c r="D23" s="154" t="str">
        <f t="shared" si="9"/>
        <v/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130</v>
      </c>
      <c r="C25" s="234" t="str">
        <f>IF(D24="","",IF(ABS(C24+D24)=ABS(C24)+ABS(D24),IF(C24&lt;0,-1,1)*(C24-D24)/D24,"Turn"))</f>
        <v/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136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150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139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140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138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142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160</v>
      </c>
      <c r="C40" s="156" t="e">
        <f>IF(C6="","",C14/MAX(C39,0))</f>
        <v>#VALUE!</v>
      </c>
      <c r="D40" s="156" t="str">
        <f>IF(D6="","",D14/MAX(D39,0))</f>
        <v/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263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 t="e">
        <f t="shared" ref="C42:M42" si="34">IF(C6="","",C8/C6)</f>
        <v>#VALUE!</v>
      </c>
      <c r="D42" s="157" t="str">
        <f t="shared" si="34"/>
        <v/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242</v>
      </c>
      <c r="C43" s="154" t="e">
        <f t="shared" ref="C43:M43" si="35">IF(C6="","",(C10+MAX(C11,0))/C6)</f>
        <v>#VALUE!</v>
      </c>
      <c r="D43" s="154" t="str">
        <f t="shared" si="35"/>
        <v/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 t="e">
        <f t="shared" ref="C44:M44" si="36">IF(C6="","",MAX(C16,0)/C6)</f>
        <v>#VALUE!</v>
      </c>
      <c r="D44" s="154" t="str">
        <f t="shared" si="36"/>
        <v/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 t="e">
        <f t="shared" ref="C45:M45" si="37">IF(C6="","",MAX(C17,0)/C6)</f>
        <v>#VALUE!</v>
      </c>
      <c r="D45" s="154" t="str">
        <f t="shared" si="37"/>
        <v/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131</v>
      </c>
      <c r="C46" s="154" t="e">
        <f>IF(C6="","",MAX(C12,0)/C6)</f>
        <v>#VALUE!</v>
      </c>
      <c r="D46" s="154" t="str">
        <f t="shared" ref="D46:M46" si="38">IF(D6="","",MAX(D12,0)/D6)</f>
        <v/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244</v>
      </c>
      <c r="C47" s="154" t="e">
        <f>IF(C6="","",ABS(MAX(C21,0)-MAX(C19,0))/C6)</f>
        <v>#VALUE!</v>
      </c>
      <c r="D47" s="154" t="str">
        <f t="shared" ref="D47:M47" si="39">IF(D6="","",ABS(MAX(D21,0)-MAX(D19,0))/D6)</f>
        <v/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4" t="e">
        <f t="shared" ref="C48:M48" si="40">IF(C6="","",C22/C6)</f>
        <v>#VALUE!</v>
      </c>
      <c r="D48" s="154" t="str">
        <f t="shared" si="40"/>
        <v/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148</v>
      </c>
      <c r="C50" s="157" t="e">
        <f t="shared" ref="C50:M50" si="41">IF(C29="","",C29/C6)</f>
        <v>#VALUE!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149</v>
      </c>
      <c r="C51" s="154" t="e">
        <f t="shared" ref="C51:M51" si="42">IF(C30="","",C30/C6)</f>
        <v>#VALUE!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 t="e">
        <f t="shared" ref="C54:M54" si="44">IF(OR(C22="",C35=""),"",IF(C35&lt;=0,"-",C22/C35))</f>
        <v>#VALUE!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 t="e">
        <f t="shared" ref="C55:M55" si="45">IF(C22="","",IF(MAX(C17,0)&lt;=0,"-",C17/C22))</f>
        <v>#VALUE!</v>
      </c>
      <c r="D55" s="154" t="str">
        <f t="shared" si="45"/>
        <v/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52" sqref="E5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152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0">
        <f>I15+I34</f>
        <v>0</v>
      </c>
      <c r="E56" s="278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79">
        <f>Inputs!C84</f>
        <v>0</v>
      </c>
      <c r="E57" s="278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79">
        <f>Inputs!C85</f>
        <v>0</v>
      </c>
      <c r="E58" s="278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141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143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153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144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142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154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145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129</v>
      </c>
      <c r="C72" s="267">
        <f>Data!C5</f>
        <v>45291</v>
      </c>
      <c r="D72" s="267"/>
      <c r="E72" s="281" t="s">
        <v>210</v>
      </c>
      <c r="F72" s="281"/>
      <c r="H72" s="281" t="s">
        <v>209</v>
      </c>
      <c r="I72" s="281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8" t="s">
        <v>101</v>
      </c>
      <c r="D73" s="268"/>
      <c r="E73" s="282" t="s">
        <v>102</v>
      </c>
      <c r="F73" s="268"/>
      <c r="H73" s="282" t="s">
        <v>102</v>
      </c>
      <c r="I73" s="268"/>
      <c r="K73" s="24"/>
    </row>
    <row r="74" spans="1:11" ht="15" customHeight="1" x14ac:dyDescent="0.15">
      <c r="B74" s="3" t="s">
        <v>128</v>
      </c>
      <c r="C74" s="77" t="str">
        <f>Data!C6</f>
        <v xml:space="preserve"> </v>
      </c>
      <c r="D74" s="210"/>
      <c r="E74" s="239">
        <f>Inputs!E91</f>
        <v>0</v>
      </c>
      <c r="F74" s="210"/>
      <c r="H74" s="239">
        <f>Inputs!F91</f>
        <v>0</v>
      </c>
      <c r="I74" s="210"/>
      <c r="K74" s="24"/>
    </row>
    <row r="75" spans="1:11" ht="15" customHeight="1" x14ac:dyDescent="0.15">
      <c r="B75" s="104" t="s">
        <v>106</v>
      </c>
      <c r="C75" s="77" t="str">
        <f>Data!C8</f>
        <v/>
      </c>
      <c r="D75" s="160" t="e">
        <f>C75/$C$74</f>
        <v>#VALUE!</v>
      </c>
      <c r="E75" s="239" t="e">
        <f>Inputs!E92</f>
        <v>#DIV/0!</v>
      </c>
      <c r="F75" s="161" t="e">
        <f>E75/E74</f>
        <v>#DIV/0!</v>
      </c>
      <c r="H75" s="239" t="e">
        <f>Inputs!F92</f>
        <v>#DIV/0!</v>
      </c>
      <c r="I75" s="161" t="e">
        <f>H75/$H$74</f>
        <v>#DIV/0!</v>
      </c>
      <c r="K75" s="24"/>
    </row>
    <row r="76" spans="1:11" ht="15" customHeight="1" x14ac:dyDescent="0.15">
      <c r="B76" s="35" t="s">
        <v>96</v>
      </c>
      <c r="C76" s="162" t="e">
        <f>C74-C75</f>
        <v>#VALUE!</v>
      </c>
      <c r="D76" s="211"/>
      <c r="E76" s="163" t="e">
        <f>E74-E75</f>
        <v>#DIV/0!</v>
      </c>
      <c r="F76" s="211"/>
      <c r="H76" s="163" t="e">
        <f>H74-H75</f>
        <v>#DIV/0!</v>
      </c>
      <c r="I76" s="211"/>
      <c r="K76" s="24"/>
    </row>
    <row r="77" spans="1:11" ht="15" customHeight="1" x14ac:dyDescent="0.15">
      <c r="B77" s="104" t="s">
        <v>258</v>
      </c>
      <c r="C77" s="77" t="e">
        <f>Data!C10+MAX(Data!C11,0)</f>
        <v>#VALUE!</v>
      </c>
      <c r="D77" s="160" t="e">
        <f>C77/$C$74</f>
        <v>#VALUE!</v>
      </c>
      <c r="E77" s="239" t="e">
        <f>Inputs!E93</f>
        <v>#DIV/0!</v>
      </c>
      <c r="F77" s="161" t="e">
        <f>E77/E74</f>
        <v>#DIV/0!</v>
      </c>
      <c r="H77" s="239" t="e">
        <f>Inputs!F93</f>
        <v>#DIV/0!</v>
      </c>
      <c r="I77" s="161" t="e">
        <f>H77/$H$74</f>
        <v>#DIV/0!</v>
      </c>
      <c r="K77" s="24"/>
    </row>
    <row r="78" spans="1:11" ht="15" customHeight="1" x14ac:dyDescent="0.15">
      <c r="B78" s="73" t="s">
        <v>175</v>
      </c>
      <c r="C78" s="77">
        <f>MAX(Data!C12,0)</f>
        <v>0</v>
      </c>
      <c r="D78" s="160" t="e">
        <f>C78/$C$74</f>
        <v>#VALUE!</v>
      </c>
      <c r="E78" s="181" t="e">
        <f>E74*F78</f>
        <v>#DIV/0!</v>
      </c>
      <c r="F78" s="161" t="e">
        <f>I78</f>
        <v>#DIV/0!</v>
      </c>
      <c r="H78" s="239" t="e">
        <f>Inputs!F97</f>
        <v>#DIV/0!</v>
      </c>
      <c r="I78" s="161" t="e">
        <f>H78/$H$74</f>
        <v>#DIV/0!</v>
      </c>
      <c r="K78" s="24"/>
    </row>
    <row r="79" spans="1:11" ht="15" customHeight="1" x14ac:dyDescent="0.15">
      <c r="B79" s="257" t="s">
        <v>240</v>
      </c>
      <c r="C79" s="258" t="e">
        <f>C76-C77-C78</f>
        <v>#VALUE!</v>
      </c>
      <c r="D79" s="259" t="e">
        <f>C79/C74</f>
        <v>#VALUE!</v>
      </c>
      <c r="E79" s="260" t="e">
        <f>E76-E77-E78</f>
        <v>#DIV/0!</v>
      </c>
      <c r="F79" s="259" t="e">
        <f>E79/E74</f>
        <v>#DIV/0!</v>
      </c>
      <c r="G79" s="261"/>
      <c r="H79" s="260" t="e">
        <f>H76-H77-H78</f>
        <v>#DIV/0!</v>
      </c>
      <c r="I79" s="259" t="e">
        <f>H79/H74</f>
        <v>#DIV/0!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60" t="e">
        <f>C80/$C$74</f>
        <v>#VALUE!</v>
      </c>
      <c r="E80" s="181" t="e">
        <f>E74*F80</f>
        <v>#DIV/0!</v>
      </c>
      <c r="F80" s="161" t="e">
        <f>I80</f>
        <v>#DIV/0!</v>
      </c>
      <c r="H80" s="239" t="e">
        <f>Inputs!F96</f>
        <v>#DIV/0!</v>
      </c>
      <c r="I80" s="161" t="e">
        <f>H80/$H$74</f>
        <v>#DIV/0!</v>
      </c>
      <c r="K80" s="182" t="s">
        <v>133</v>
      </c>
    </row>
    <row r="81" spans="1:11" ht="15" customHeight="1" x14ac:dyDescent="0.15">
      <c r="B81" s="104" t="s">
        <v>124</v>
      </c>
      <c r="C81" s="77">
        <f>MAX(Data!C17,0)</f>
        <v>0</v>
      </c>
      <c r="D81" s="160" t="e">
        <f>C81/$C$74</f>
        <v>#VALUE!</v>
      </c>
      <c r="E81" s="181" t="e">
        <f>E74*F81</f>
        <v>#DIV/0!</v>
      </c>
      <c r="F81" s="161" t="e">
        <f>I81</f>
        <v>#DIV/0!</v>
      </c>
      <c r="H81" s="239" t="e">
        <f>Inputs!F94</f>
        <v>#DIV/0!</v>
      </c>
      <c r="I81" s="161" t="e">
        <f>H81/$H$74</f>
        <v>#DIV/0!</v>
      </c>
      <c r="K81" s="24"/>
    </row>
    <row r="82" spans="1:11" ht="15" customHeight="1" x14ac:dyDescent="0.15">
      <c r="B82" s="28" t="s">
        <v>257</v>
      </c>
      <c r="C82" s="77">
        <f>MAX(MAX(Data!C21,0)-MAX(Data!C19,0),0)</f>
        <v>0</v>
      </c>
      <c r="D82" s="160" t="e">
        <f>C82/$C$74</f>
        <v>#VALUE!</v>
      </c>
      <c r="E82" s="239" t="e">
        <f>Inputs!E95</f>
        <v>#DIV/0!</v>
      </c>
      <c r="F82" s="161" t="e">
        <f>E82/E74</f>
        <v>#DIV/0!</v>
      </c>
      <c r="H82" s="239" t="e">
        <f>Inputs!F95</f>
        <v>#DIV/0!</v>
      </c>
      <c r="I82" s="161" t="e">
        <f>H82/$H$74</f>
        <v>#DIV/0!</v>
      </c>
      <c r="K82" s="24"/>
    </row>
    <row r="83" spans="1:11" ht="15" customHeight="1" thickBot="1" x14ac:dyDescent="0.2">
      <c r="B83" s="105" t="s">
        <v>127</v>
      </c>
      <c r="C83" s="164" t="e">
        <f>C79-C81-C82-C80</f>
        <v>#VALUE!</v>
      </c>
      <c r="D83" s="165" t="e">
        <f>C83/$C$74</f>
        <v>#VALUE!</v>
      </c>
      <c r="E83" s="166" t="e">
        <f>E79-E81-E82-E80</f>
        <v>#DIV/0!</v>
      </c>
      <c r="F83" s="165" t="e">
        <f>E83/E74</f>
        <v>#DIV/0!</v>
      </c>
      <c r="H83" s="166" t="e">
        <f>H79-H81-H82-H80</f>
        <v>#DIV/0!</v>
      </c>
      <c r="I83" s="165" t="e">
        <f>H83/$H$74</f>
        <v>#DIV/0!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167</v>
      </c>
      <c r="C85" s="258" t="e">
        <f>C83*(1-I84)</f>
        <v>#VALUE!</v>
      </c>
      <c r="D85" s="259" t="e">
        <f>C85/$C$74</f>
        <v>#VALUE!</v>
      </c>
      <c r="E85" s="265" t="e">
        <f>E83*(1-F84)</f>
        <v>#DIV/0!</v>
      </c>
      <c r="F85" s="259" t="e">
        <f>E85/E74</f>
        <v>#DIV/0!</v>
      </c>
      <c r="G85" s="261"/>
      <c r="H85" s="265" t="e">
        <f>H83*(1-I84)</f>
        <v>#DIV/0!</v>
      </c>
      <c r="I85" s="259" t="e">
        <f>H85/$H$74</f>
        <v>#DIV/0!</v>
      </c>
      <c r="K85" s="24"/>
    </row>
    <row r="86" spans="1:11" ht="15" customHeight="1" x14ac:dyDescent="0.15">
      <c r="B86" s="87" t="s">
        <v>163</v>
      </c>
      <c r="C86" s="168" t="e">
        <f>C85*Data!C4/Common_Shares</f>
        <v>#VALUE!</v>
      </c>
      <c r="D86" s="210"/>
      <c r="E86" s="169" t="e">
        <f>E85*Data!C4/Common_Shares</f>
        <v>#DIV/0!</v>
      </c>
      <c r="F86" s="210"/>
      <c r="H86" s="169" t="e">
        <f>H85*Data!C4/Common_Shares</f>
        <v>#DIV/0!</v>
      </c>
      <c r="I86" s="210"/>
      <c r="K86" s="24"/>
    </row>
    <row r="87" spans="1:11" ht="15" customHeight="1" x14ac:dyDescent="0.15">
      <c r="B87" s="87" t="s">
        <v>212</v>
      </c>
      <c r="C87" s="262" t="e">
        <f>C86*Exchange_Rate/Dashboard!G3</f>
        <v>#VALUE!</v>
      </c>
      <c r="D87" s="210"/>
      <c r="E87" s="263" t="e">
        <f>E86*Exchange_Rate/Dashboard!G3</f>
        <v>#DIV/0!</v>
      </c>
      <c r="F87" s="210"/>
      <c r="H87" s="263" t="e">
        <f>H86*Exchange_Rate/Dashboard!G3</f>
        <v>#DIV/0!</v>
      </c>
      <c r="I87" s="210"/>
      <c r="K87" s="24"/>
    </row>
    <row r="88" spans="1:11" ht="15" customHeight="1" x14ac:dyDescent="0.15">
      <c r="B88" s="86" t="s">
        <v>211</v>
      </c>
      <c r="C88" s="170">
        <f>Inputs!C44</f>
        <v>0</v>
      </c>
      <c r="D88" s="167" t="e">
        <f>C88/C86</f>
        <v>#VALUE!</v>
      </c>
      <c r="E88" s="171">
        <f>Inputs!E98</f>
        <v>0</v>
      </c>
      <c r="F88" s="167" t="e">
        <f>E88/E86</f>
        <v>#DIV/0!</v>
      </c>
      <c r="H88" s="171">
        <f>Inputs!F98</f>
        <v>0</v>
      </c>
      <c r="I88" s="167" t="e">
        <f>H88/H86</f>
        <v>#DIV/0!</v>
      </c>
      <c r="K88" s="24"/>
    </row>
    <row r="89" spans="1:11" ht="15" customHeight="1" x14ac:dyDescent="0.15">
      <c r="B89" s="87" t="s">
        <v>226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157</v>
      </c>
      <c r="C91" s="21"/>
      <c r="K91" s="50" t="s">
        <v>134</v>
      </c>
    </row>
    <row r="92" spans="1:11" ht="15" customHeight="1" x14ac:dyDescent="0.15">
      <c r="B92" s="10" t="s">
        <v>158</v>
      </c>
      <c r="C92" s="199" t="str">
        <f>Inputs!C15</f>
        <v>HK</v>
      </c>
      <c r="D92" s="10" t="s">
        <v>159</v>
      </c>
      <c r="E92" s="281" t="s">
        <v>210</v>
      </c>
      <c r="F92" s="281"/>
      <c r="G92" s="87"/>
      <c r="H92" s="281" t="s">
        <v>209</v>
      </c>
      <c r="I92" s="281"/>
      <c r="K92" s="24"/>
    </row>
    <row r="93" spans="1:11" ht="15" customHeight="1" x14ac:dyDescent="0.15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213</v>
      </c>
      <c r="F93" s="144" t="e">
        <f>FV(E87,D93,0,-(E86/C93))</f>
        <v>#DIV/0!</v>
      </c>
      <c r="H93" s="87" t="s">
        <v>213</v>
      </c>
      <c r="I93" s="144" t="e">
        <f>FV(H87,D93,0,-(H86/C93))</f>
        <v>#DIV/0!</v>
      </c>
      <c r="K93" s="24"/>
    </row>
    <row r="94" spans="1:11" ht="15" customHeight="1" x14ac:dyDescent="0.15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0</v>
      </c>
      <c r="H94" s="87" t="s">
        <v>214</v>
      </c>
      <c r="I94" s="144">
        <f>FV(H89,D93,0,-(H88/C93))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245</v>
      </c>
      <c r="H96" s="184" t="str">
        <f>H72</f>
        <v>Base Case</v>
      </c>
      <c r="I96" s="124" t="s">
        <v>217</v>
      </c>
      <c r="K96" s="24"/>
    </row>
    <row r="97" spans="2:11" ht="15" customHeight="1" x14ac:dyDescent="0.15">
      <c r="B97" s="1" t="s">
        <v>132</v>
      </c>
      <c r="C97" s="91" t="e">
        <f>H97*Common_Shares/Data!C4</f>
        <v>#DIV/0!</v>
      </c>
      <c r="D97" s="214"/>
      <c r="E97" s="123" t="e">
        <f>PV(C94,D93,0,-F93)*Exchange_Rate</f>
        <v>#DIV/0!</v>
      </c>
      <c r="F97" s="214"/>
      <c r="H97" s="123" t="e">
        <f>PV(C94,D93,0,-I93)*Exchange_Rate</f>
        <v>#DIV/0!</v>
      </c>
      <c r="I97" s="123" t="e">
        <f>PV(C93,D93,0,-I93)*Exchange_Rate</f>
        <v>#DIV/0!</v>
      </c>
      <c r="K97" s="24"/>
    </row>
    <row r="98" spans="2:11" ht="15" customHeight="1" x14ac:dyDescent="0.15">
      <c r="B98" s="28" t="s">
        <v>146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2">
      <c r="B99" s="105" t="s">
        <v>147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15">
      <c r="B100" s="1" t="s">
        <v>115</v>
      </c>
      <c r="C100" s="91" t="e">
        <f>C97-C98+$C$99</f>
        <v>#DIV/0!</v>
      </c>
      <c r="D100" s="109" t="e">
        <f>MIN(F100*(1-C94),E100)</f>
        <v>#DIV/0!</v>
      </c>
      <c r="E100" s="109" t="e">
        <f>MAX(E97-H98+E99,0)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MAX(I97-H98+H99,0)</f>
        <v>#DIV/0!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245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15">
      <c r="B103" s="1" t="s">
        <v>164</v>
      </c>
      <c r="C103" s="91">
        <f>H103*Common_Shares/Data!C4</f>
        <v>0</v>
      </c>
      <c r="D103" s="109">
        <f>MIN(F103*(1-C94),E103)</f>
        <v>0</v>
      </c>
      <c r="E103" s="123">
        <f>PV(C94,D93,0,-F94)*Exchange_Rate</f>
        <v>0</v>
      </c>
      <c r="F103" s="109">
        <f>(E103+H103)/2</f>
        <v>0</v>
      </c>
      <c r="H103" s="123">
        <f>PV(C94,D93,0,-I94)*Exchange_Rate</f>
        <v>0</v>
      </c>
      <c r="I103" s="109">
        <f>PV(C93,D93,0,-I94)*Exchange_Rate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245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15">
      <c r="B106" s="1" t="s">
        <v>202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2024-11-27T16:49:23Z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