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56A7DA3-BA95-4EAA-B856-6C1421940A79}" xr6:coauthVersionLast="47" xr6:coauthVersionMax="47" xr10:uidLastSave="{00000000-0000-0000-0000-000000000000}"/>
  <bookViews>
    <workbookView xWindow="-98" yWindow="-98" windowWidth="17115" windowHeight="10755" firstSheet="1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7" i="4"/>
  <c r="F96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<sst xmlns="http://schemas.openxmlformats.org/spreadsheetml/2006/main" count="390" uniqueCount="266">
  <si>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</si>
  <si>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</si>
  <si>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</si>
  <si>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</si>
  <si>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</si>
  <si>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</si>
  <si>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</si>
  <si>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</si>
  <si>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</si>
  <si>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</si>
  <si>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</si>
  <si>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</si>
  <si>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</si>
  <si>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</si>
  <si>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</si>
  <si>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</si>
  <si>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</si>
  <si>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</si>
  <si>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</si>
  <si>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</si>
  <si>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</si>
  <si>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</si>
  <si>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</si>
  <si>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</si>
  <si>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</si>
  <si>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</si>
  <si>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</si>
  <si>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</si>
  <si>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</si>
  <si>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</si>
  <si>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</si>
  <si>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</si>
  <si>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</si>
  <si>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</si>
  <si>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</si>
  <si>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</si>
  <si>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</si>
  <si>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</si>
  <si>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</si>
  <si>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</si>
  <si>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</si>
  <si>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</si>
  <si>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</si>
  <si>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</si>
  <si>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</si>
  <si>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</si>
  <si>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</si>
  <si>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</si>
  <si>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</si>
  <si>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</si>
  <si>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</si>
  <si>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</si>
  <si>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</si>
  <si>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</si>
  <si>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</si>
  <si>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</si>
  <si>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</si>
  <si>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</si>
  <si>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</si>
  <si>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</si>
  <si>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</si>
  <si>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</si>
  <si>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</si>
  <si>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</si>
  <si>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</si>
  <si>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</si>
  <si>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</si>
  <si>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</si>
  <si>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</si>
  <si>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</si>
  <si>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</si>
  <si>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</si>
  <si>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</si>
  <si>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</si>
  <si>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</si>
  <si>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</si>
  <si>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</si>
  <si>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</si>
  <si>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</si>
  <si>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</si>
  <si>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</si>
  <si>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</si>
  <si>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</si>
  <si>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</si>
  <si>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</si>
  <si>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</si>
  <si>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</si>
  <si>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</si>
  <si>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</si>
  <si>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</si>
  <si>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</si>
  <si>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</si>
  <si>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</si>
  <si>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</si>
  <si>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</si>
  <si>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</si>
  <si>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</si>
  <si>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</si>
  <si>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</si>
  <si>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</si>
  <si>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</si>
  <si>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</si>
  <si>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</si>
  <si>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</si>
  <si>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</si>
  <si>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</si>
  <si>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</si>
  <si>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</si>
  <si>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</si>
  <si>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</si>
  <si>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</si>
  <si>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</si>
  <si>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</si>
  <si>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</si>
  <si>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</si>
  <si>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</si>
  <si>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</si>
  <si>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</si>
  <si>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</si>
  <si>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</si>
  <si>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</si>
  <si>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</si>
  <si>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</si>
  <si>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</si>
  <si>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</si>
  <si>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</si>
  <si>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</si>
  <si>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</si>
  <si>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</si>
  <si>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</si>
  <si>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</si>
  <si>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</si>
  <si>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</si>
  <si>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</si>
  <si>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</si>
  <si>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</si>
  <si>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</si>
  <si>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</si>
  <si>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</si>
  <si>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</si>
  <si>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</si>
  <si>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</si>
  <si>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</si>
  <si>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</si>
  <si>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</si>
  <si>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</si>
  <si>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</si>
  <si>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</si>
  <si>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</si>
  <si>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</si>
  <si>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</si>
  <si>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</si>
  <si>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</si>
  <si>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</si>
  <si>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</si>
  <si>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</si>
  <si>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</si>
  <si>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</si>
  <si>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</si>
  <si>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</si>
  <si>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</si>
  <si>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</si>
  <si>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</si>
  <si>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</si>
  <si>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</si>
  <si>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</si>
  <si>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</si>
  <si>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</si>
  <si>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</si>
  <si>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</si>
  <si>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</si>
  <si>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</si>
  <si>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</si>
  <si>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</si>
  <si>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</si>
  <si>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</si>
  <si>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</si>
  <si>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</si>
  <si>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</si>
  <si>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</si>
  <si>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</si>
  <si>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</si>
  <si>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</si>
  <si>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</si>
  <si>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</si>
  <si>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</si>
  <si>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</si>
  <si>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</si>
  <si>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</si>
  <si>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</si>
  <si>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</si>
  <si>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</si>
  <si>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</si>
  <si>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</si>
  <si>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</si>
  <si>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</si>
  <si>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</si>
  <si>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</si>
  <si>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</si>
  <si>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</si>
  <si>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</si>
  <si>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</si>
  <si>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</si>
  <si>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</si>
  <si>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</si>
  <si>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</si>
  <si>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</si>
  <si>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</si>
  <si>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</si>
  <si>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</si>
  <si>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</si>
  <si>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</si>
  <si>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</si>
  <si>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</si>
  <si>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</si>
  <si>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</si>
  <si>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</si>
  <si>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</si>
  <si>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</si>
  <si>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</si>
  <si>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</si>
  <si>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</si>
  <si>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</si>
  <si>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</si>
  <si>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</si>
  <si>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</si>
  <si>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</si>
  <si>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</si>
  <si>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</si>
  <si>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</si>
  <si>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</si>
  <si>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</si>
  <si>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</si>
  <si>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</si>
  <si>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</si>
  <si>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</si>
  <si>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</si>
  <si>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</si>
  <si>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</si>
  <si>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</si>
  <si>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</si>
  <si>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</si>
  <si>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</si>
  <si>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</si>
  <si>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</si>
  <si>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</si>
  <si>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</si>
  <si>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</si>
  <si>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</si>
  <si>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</si>
  <si>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</si>
  <si>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</si>
  <si>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</si>
  <si>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</si>
  <si>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</si>
  <si>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</si>
  <si>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</si>
  <si>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</si>
  <si>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</si>
  <si>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</si>
  <si>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</si>
  <si>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新鴻基地產</t>
  </si>
  <si>
    <t>C0005</t>
  </si>
  <si>
    <t>disagree</t>
  </si>
  <si>
    <t>Commodity-type Business</t>
  </si>
  <si>
    <t>0016.HK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</si>
</sst>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10" sqref="C1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265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2897780274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264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71506</v>
      </c>
      <c r="D25" s="150">
        <v>71195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39292</v>
      </c>
      <c r="D26" s="151">
        <v>36737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3906+3322</f>
        <v>7228</v>
      </c>
      <c r="D27" s="151">
        <f>4179+3145</f>
        <v>7324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4046</v>
      </c>
      <c r="D29" s="151">
        <v>3053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559</v>
      </c>
      <c r="D30" s="151">
        <v>668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-2259</v>
      </c>
      <c r="D31" s="151">
        <v>-1565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4805</v>
      </c>
      <c r="D32" s="151">
        <v>4765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4396</v>
      </c>
      <c r="D33" s="151">
        <v>4262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0.95+2.8</f>
        <v>3.75</v>
      </c>
      <c r="D44" s="251">
        <f>3.7+1.25</f>
        <v>4.95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4.8543689320388349E-2</v>
      </c>
      <c r="D45" s="153">
        <f>IF(D44="","",D44*Exchange_Rate/Dashboard!$G$3)</f>
        <v>6.4077669902912623E-2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2" t="s">
        <v>46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2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3743</v>
      </c>
      <c r="D72" s="249">
        <v>0</v>
      </c>
      <c r="E72" s="250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45473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71506</v>
      </c>
      <c r="D91" s="210"/>
      <c r="E91" s="252">
        <f>C91</f>
        <v>71506</v>
      </c>
      <c r="F91" s="252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60">
        <f>C92/C91</f>
        <v>0.54949235029228316</v>
      </c>
      <c r="E92" s="253">
        <f>E91*D92</f>
        <v>39292</v>
      </c>
      <c r="F92" s="253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60">
        <f>C93/C91</f>
        <v>0.10108242664951193</v>
      </c>
      <c r="E93" s="253">
        <f>E91*D93</f>
        <v>7228</v>
      </c>
      <c r="F93" s="253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60">
        <f>C94/C91</f>
        <v>5.6582664391799292E-2</v>
      </c>
      <c r="E94" s="254"/>
      <c r="F94" s="253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60">
        <f>C95/C91</f>
        <v>5.719799737085E-3</v>
      </c>
      <c r="E95" s="253">
        <f>E91*D95</f>
        <v>409</v>
      </c>
      <c r="F95" s="253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60">
        <f>C97/C91</f>
        <v>1.0218987976510586E-2</v>
      </c>
      <c r="E97" s="254"/>
      <c r="F97" s="253">
        <f>F91*D97</f>
        <v>730.718954248366</v>
      </c>
    </row>
    <row r="98" spans="2:7" ht="13.9" x14ac:dyDescent="0.4">
      <c r="B98" s="86" t="s">
        <v>208</v>
      </c>
      <c r="C98" s="238">
        <f>C44</f>
        <v>3.75</v>
      </c>
      <c r="D98" s="267"/>
      <c r="E98" s="255">
        <f>F98</f>
        <v>3.75</v>
      </c>
      <c r="F98" s="255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F8" sqref="F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0016.HK</v>
      </c>
      <c r="D3" s="277"/>
      <c r="E3" s="87"/>
      <c r="F3" s="3" t="s">
        <v>1</v>
      </c>
      <c r="G3" s="132">
        <v>77.25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新鴻基地產</v>
      </c>
      <c r="D4" s="279"/>
      <c r="E4" s="87"/>
      <c r="F4" s="3" t="s">
        <v>3</v>
      </c>
      <c r="G4" s="282">
        <f>Inputs!C10</f>
        <v>2897780274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45625</v>
      </c>
      <c r="D5" s="281"/>
      <c r="E5" s="34"/>
      <c r="F5" s="35" t="s">
        <v>100</v>
      </c>
      <c r="G5" s="274">
        <f>G3*G4/1000000</f>
        <v>223853.5261665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0.54949235029228316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0.36632981464756137</v>
      </c>
    </row>
    <row r="24" spans="1:8" ht="15.75" customHeight="1" x14ac:dyDescent="0.4">
      <c r="B24" s="137" t="s">
        <v>171</v>
      </c>
      <c r="C24" s="172">
        <f>Fin_Analysis!I81</f>
        <v>5.6582664391799292E-2</v>
      </c>
      <c r="F24" s="140" t="s">
        <v>260</v>
      </c>
      <c r="G24" s="269">
        <f>G3/(Fin_Analysis!H86*G7)</f>
        <v>14.778527020742755</v>
      </c>
    </row>
    <row r="25" spans="1:8" ht="15.75" customHeight="1" x14ac:dyDescent="0.4">
      <c r="B25" s="137" t="s">
        <v>244</v>
      </c>
      <c r="C25" s="172">
        <f>Fin_Analysis!I82</f>
        <v>5.719799737085E-3</v>
      </c>
      <c r="F25" s="140" t="s">
        <v>175</v>
      </c>
      <c r="G25" s="172">
        <f>Fin_Analysis!I88</f>
        <v>0.71740422430790074</v>
      </c>
    </row>
    <row r="26" spans="1:8" ht="15.75" customHeight="1" x14ac:dyDescent="0.4">
      <c r="B26" s="138" t="s">
        <v>174</v>
      </c>
      <c r="C26" s="172">
        <f>Fin_Analysis!I83</f>
        <v>0.27690377095281005</v>
      </c>
      <c r="F26" s="141" t="s">
        <v>194</v>
      </c>
      <c r="G26" s="179">
        <f>Fin_Analysis!H88*Exchange_Rate/G3</f>
        <v>4.8543689320388349E-2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12.975781464428103</v>
      </c>
      <c r="D29" s="129">
        <f>G29*(1+G20)</f>
        <v>49.916439672045541</v>
      </c>
      <c r="E29" s="87"/>
      <c r="F29" s="131">
        <f>IF(Fin_Analysis!C108="Profit",Fin_Analysis!F100,IF(Fin_Analysis!C108="Dividend",Fin_Analysis!F103,Fin_Analysis!F106))</f>
        <v>15.594202042440495</v>
      </c>
      <c r="G29" s="273">
        <f>IF(Fin_Analysis!C108="Profit",Fin_Analysis!I100,IF(Fin_Analysis!C108="Dividend",Fin_Analysis!I103,Fin_Analysis!I106))</f>
        <v>43.405599714822216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71506</v>
      </c>
      <c r="D6" s="201">
        <f>IF(Inputs!D25="","",Inputs!D25)</f>
        <v>71195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39292</v>
      </c>
      <c r="D8" s="200">
        <f>IF(Inputs!D26="","",Inputs!D26)</f>
        <v>36737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32214</v>
      </c>
      <c r="D9" s="152">
        <f t="shared" si="2"/>
        <v>34458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7228</v>
      </c>
      <c r="D10" s="200">
        <f>IF(Inputs!D27="","",Inputs!D27)</f>
        <v>7324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730.718954248366</v>
      </c>
      <c r="D12" s="200">
        <f>IF(Inputs!D30="","",MAX(Inputs!D30,0)/(1-Fin_Analysis!$I$84))</f>
        <v>873.20261437908493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0.33920623508169434</v>
      </c>
      <c r="D13" s="230">
        <f t="shared" si="3"/>
        <v>0.36885732685751688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24255.281045751635</v>
      </c>
      <c r="D14" s="231">
        <f t="shared" ref="D14:M14" si="4">IF(D6="","",D9-D10-MAX(D11,0)-MAX(D12,0))</f>
        <v>26260.797385620914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-7.6369209602424257E-2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-2259</v>
      </c>
      <c r="D16" s="200">
        <f>IF(Inputs!D31="","",Inputs!D31)</f>
        <v>-1565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4046</v>
      </c>
      <c r="D17" s="200">
        <f>IF(Inputs!D29="","",Inputs!D29)</f>
        <v>3053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6.7197158280424024E-2</v>
      </c>
      <c r="D18" s="153">
        <f t="shared" si="6"/>
        <v>6.6928857363578897E-2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4805</v>
      </c>
      <c r="D19" s="200">
        <f>IF(Inputs!D32="","",Inputs!D32)</f>
        <v>4765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6.1477358543339022E-2</v>
      </c>
      <c r="D20" s="153">
        <f t="shared" si="7"/>
        <v>5.9863754477140249E-2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4396</v>
      </c>
      <c r="D21" s="200">
        <f>IF(Inputs!D33="","",Inputs!D33)</f>
        <v>4262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19800.281045751635</v>
      </c>
      <c r="D22" s="162">
        <f t="shared" ref="D22:M22" si="8">IF(D6="","",D14-MAX(D16,0)-MAX(D17,0)-ABS(MAX(D21,0)-MAX(D19,0)))</f>
        <v>22704.797385620914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0.21183138477889971</v>
      </c>
      <c r="D23" s="154">
        <f t="shared" si="9"/>
        <v>0.2439661493082379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-0.12792522613343046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3.4730330869689581E-2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0.54949235029228316</v>
      </c>
      <c r="D42" s="157">
        <f t="shared" si="34"/>
        <v>0.51600533745347288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0.10108242664951193</v>
      </c>
      <c r="D43" s="154">
        <f t="shared" si="35"/>
        <v>0.10287239272420816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5.6582664391799292E-2</v>
      </c>
      <c r="D45" s="154">
        <f t="shared" si="37"/>
        <v>4.2882224875342372E-2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1.0218987976510586E-2</v>
      </c>
      <c r="D46" s="154">
        <f t="shared" ref="D46:M46" si="38">IF(D6="","",MAX(D12,0)/D6)</f>
        <v>1.2264942964802092E-2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5.719799737085E-3</v>
      </c>
      <c r="D47" s="154">
        <f t="shared" ref="D47:M47" si="39">IF(D6="","",ABS(MAX(D21,0)-MAX(D19,0))/D6)</f>
        <v>7.0651028864386544E-3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0.27690377095281005</v>
      </c>
      <c r="D48" s="154">
        <f t="shared" si="40"/>
        <v>0.31890999909573586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0.23935054401029285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7.0203898973512716E-3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0.25305527237701292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0.15580099495425681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0.20434053388692244</v>
      </c>
      <c r="D55" s="154">
        <f t="shared" si="45"/>
        <v>0.13446497443458727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4.0099174353350966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9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9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9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9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9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7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9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9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9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9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9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8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127087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45473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71506</v>
      </c>
      <c r="D74" s="210"/>
      <c r="E74" s="239">
        <f>Inputs!E91</f>
        <v>71506</v>
      </c>
      <c r="F74" s="210"/>
      <c r="H74" s="239">
        <f>Inputs!F91</f>
        <v>71506</v>
      </c>
      <c r="I74" s="210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60">
        <f>C75/$C$74</f>
        <v>0.54949235029228316</v>
      </c>
      <c r="E75" s="239">
        <f>Inputs!E92</f>
        <v>39292</v>
      </c>
      <c r="F75" s="161">
        <f>E75/E74</f>
        <v>0.54949235029228316</v>
      </c>
      <c r="H75" s="239">
        <f>Inputs!F92</f>
        <v>39292</v>
      </c>
      <c r="I75" s="161">
        <f>H75/$H$74</f>
        <v>0.54949235029228316</v>
      </c>
      <c r="K75" s="24"/>
    </row>
    <row r="76" spans="1:11" ht="15" customHeight="1" x14ac:dyDescent="0.4">
      <c r="B76" s="35" t="s">
        <v>96</v>
      </c>
      <c r="C76" s="162">
        <f>C74-C75</f>
        <v>32214</v>
      </c>
      <c r="D76" s="211"/>
      <c r="E76" s="163">
        <f>E74-E75</f>
        <v>32214</v>
      </c>
      <c r="F76" s="211"/>
      <c r="H76" s="163">
        <f>H74-H75</f>
        <v>32214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60">
        <f>C77/$C$74</f>
        <v>0.10108242664951193</v>
      </c>
      <c r="E77" s="239">
        <f>Inputs!E93</f>
        <v>7228</v>
      </c>
      <c r="F77" s="161">
        <f>E77/E74</f>
        <v>0.10108242664951193</v>
      </c>
      <c r="H77" s="239">
        <f>Inputs!F93</f>
        <v>7228</v>
      </c>
      <c r="I77" s="161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60">
        <f>C78/$C$74</f>
        <v>1.0218987976510586E-2</v>
      </c>
      <c r="E78" s="181">
        <f>E74*F78</f>
        <v>730.718954248366</v>
      </c>
      <c r="F78" s="161">
        <f>I78</f>
        <v>1.0218987976510586E-2</v>
      </c>
      <c r="H78" s="239">
        <f>Inputs!F97</f>
        <v>730.718954248366</v>
      </c>
      <c r="I78" s="161">
        <f>H78/$H$74</f>
        <v>1.0218987976510586E-2</v>
      </c>
      <c r="K78" s="24"/>
    </row>
    <row r="79" spans="1:11" ht="15" customHeight="1" x14ac:dyDescent="0.4">
      <c r="B79" s="257" t="s">
        <v>233</v>
      </c>
      <c r="C79" s="258">
        <f>C76-C77-C78</f>
        <v>24255.281045751635</v>
      </c>
      <c r="D79" s="259">
        <f>C79/C74</f>
        <v>0.33920623508169434</v>
      </c>
      <c r="E79" s="260">
        <f>E76-E77-E78</f>
        <v>24255.281045751635</v>
      </c>
      <c r="F79" s="259">
        <f>E79/E74</f>
        <v>0.33920623508169434</v>
      </c>
      <c r="G79" s="261"/>
      <c r="H79" s="260">
        <f>H76-H77-H78</f>
        <v>24255.281045751635</v>
      </c>
      <c r="I79" s="259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60">
        <f>C81/$C$74</f>
        <v>5.6582664391799292E-2</v>
      </c>
      <c r="E81" s="181">
        <f>E74*F81</f>
        <v>4046</v>
      </c>
      <c r="F81" s="161">
        <f>I81</f>
        <v>5.6582664391799292E-2</v>
      </c>
      <c r="H81" s="239">
        <f>Inputs!F94</f>
        <v>4046</v>
      </c>
      <c r="I81" s="161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60">
        <f>C82/$C$74</f>
        <v>5.719799737085E-3</v>
      </c>
      <c r="E82" s="239">
        <f>Inputs!E95</f>
        <v>409</v>
      </c>
      <c r="F82" s="161">
        <f>E82/E74</f>
        <v>5.719799737085E-3</v>
      </c>
      <c r="H82" s="239">
        <f>Inputs!F95</f>
        <v>409</v>
      </c>
      <c r="I82" s="161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4">
        <f>C79-C81-C82-C80</f>
        <v>19800.281045751635</v>
      </c>
      <c r="D83" s="165">
        <f>C83/$C$74</f>
        <v>0.27690377095281005</v>
      </c>
      <c r="E83" s="166">
        <f>E79-E81-E82-E80</f>
        <v>19800.281045751635</v>
      </c>
      <c r="F83" s="165">
        <f>E83/E74</f>
        <v>0.27690377095281005</v>
      </c>
      <c r="H83" s="166">
        <f>H79-H81-H82-H80</f>
        <v>19800.281045751635</v>
      </c>
      <c r="I83" s="165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15147.215000000002</v>
      </c>
      <c r="D85" s="259">
        <f>C85/$C$74</f>
        <v>0.21183138477889971</v>
      </c>
      <c r="E85" s="265">
        <f>E83*(1-F84)</f>
        <v>15147.215000000002</v>
      </c>
      <c r="F85" s="259">
        <f>E85/E74</f>
        <v>0.21183138477889971</v>
      </c>
      <c r="G85" s="261"/>
      <c r="H85" s="265">
        <f>H83*(1-I84)</f>
        <v>15147.215000000002</v>
      </c>
      <c r="I85" s="259">
        <f>H85/$H$74</f>
        <v>0.21183138477889971</v>
      </c>
      <c r="K85" s="24"/>
    </row>
    <row r="86" spans="1:11" ht="15" customHeight="1" x14ac:dyDescent="0.4">
      <c r="B86" s="87" t="s">
        <v>161</v>
      </c>
      <c r="C86" s="168">
        <f>C85*Data!C4/Common_Shares</f>
        <v>5.2271785876612675</v>
      </c>
      <c r="D86" s="210"/>
      <c r="E86" s="169">
        <f>E85*Data!C4/Common_Shares</f>
        <v>5.2271785876612675</v>
      </c>
      <c r="F86" s="210"/>
      <c r="H86" s="169">
        <f>H85*Data!C4/Common_Shares</f>
        <v>5.2271785876612675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6.7665742235097318E-2</v>
      </c>
      <c r="D87" s="210"/>
      <c r="E87" s="263">
        <f>E86*Exchange_Rate/Dashboard!G3</f>
        <v>6.7665742235097318E-2</v>
      </c>
      <c r="F87" s="210"/>
      <c r="H87" s="263">
        <f>H86*Exchange_Rate/Dashboard!G3</f>
        <v>6.7665742235097318E-2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3.75</v>
      </c>
      <c r="D88" s="167">
        <f>C88/C86</f>
        <v>0.71740422430790074</v>
      </c>
      <c r="E88" s="171">
        <f>Inputs!E98</f>
        <v>3.75</v>
      </c>
      <c r="F88" s="167">
        <f>E88/E86</f>
        <v>0.71740422430790074</v>
      </c>
      <c r="H88" s="171">
        <f>Inputs!F98</f>
        <v>3.75</v>
      </c>
      <c r="I88" s="167">
        <f>H88/H86</f>
        <v>0.71740422430790074</v>
      </c>
      <c r="K88" s="24"/>
    </row>
    <row r="89" spans="1:11" ht="15" customHeight="1" x14ac:dyDescent="0.4">
      <c r="B89" s="87" t="s">
        <v>222</v>
      </c>
      <c r="C89" s="262">
        <f>C88*Exchange_Rate/Dashboard!G3</f>
        <v>4.8543689320388349E-2</v>
      </c>
      <c r="D89" s="210"/>
      <c r="E89" s="262">
        <f>E88*Exchange_Rate/Dashboard!G3</f>
        <v>4.8543689320388349E-2</v>
      </c>
      <c r="F89" s="210"/>
      <c r="H89" s="262">
        <f>H88*Exchange_Rate/Dashboard!G3</f>
        <v>4.8543689320388349E-2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109.87526667293676</v>
      </c>
      <c r="H93" s="87" t="s">
        <v>210</v>
      </c>
      <c r="I93" s="144">
        <f>FV(H87,D93,0,-(H86/C93))*Exchange_Rate</f>
        <v>109.87526667293676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72.014506033520973</v>
      </c>
      <c r="H94" s="87" t="s">
        <v>211</v>
      </c>
      <c r="I94" s="144">
        <f>FV(H89,D93,0,-(H88/C93))*Exchange_Rate</f>
        <v>72.014506033520973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158298.27856735457</v>
      </c>
      <c r="D97" s="214"/>
      <c r="E97" s="123">
        <f>PV(C94,D93,0,-F93)</f>
        <v>54.62742637447969</v>
      </c>
      <c r="F97" s="214"/>
      <c r="H97" s="123">
        <f>PV(C94,D93,0,-I93)</f>
        <v>54.62742637447969</v>
      </c>
      <c r="I97" s="123">
        <f>PV(C93,D93,0,-I93)</f>
        <v>79.820403468849008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4"/>
      <c r="E98" s="214"/>
      <c r="F98" s="214"/>
      <c r="H98" s="123">
        <f>C98*Data!$C$4/Common_Shares</f>
        <v>1.5025293805281801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5"/>
      <c r="E99" s="146">
        <f>IF(H99&gt;0,H99*(1-C94),H99*(1+C94))</f>
        <v>-40.149115529523407</v>
      </c>
      <c r="F99" s="215"/>
      <c r="H99" s="146">
        <f>C99*Data!$C$4/Common_Shares</f>
        <v>-34.912274373498619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52776.178567354567</v>
      </c>
      <c r="D100" s="109">
        <f>MIN(F100*(1-C94),E100)</f>
        <v>12.975781464428103</v>
      </c>
      <c r="E100" s="109">
        <f>MAX(E97-H98+E99,0)</f>
        <v>12.975781464428103</v>
      </c>
      <c r="F100" s="109">
        <f>(E100+H100)/2</f>
        <v>15.594202042440495</v>
      </c>
      <c r="H100" s="109">
        <f>MAX(C100*Data!$C$4/Common_Shares,0)</f>
        <v>18.212622620452887</v>
      </c>
      <c r="I100" s="109">
        <f>MAX(I97-H98+H99,0)</f>
        <v>43.405599714822216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103751.94238133855</v>
      </c>
      <c r="D103" s="109">
        <f>MIN(F103*(1-C94),E103)</f>
        <v>30.433346453285214</v>
      </c>
      <c r="E103" s="123">
        <f>PV(C94,D93,0,-F94)</f>
        <v>35.803937003864959</v>
      </c>
      <c r="F103" s="109">
        <f>(E103+H103)/2</f>
        <v>35.803937003864959</v>
      </c>
      <c r="H103" s="123">
        <f>PV(C94,D93,0,-I94)</f>
        <v>35.803937003864959</v>
      </c>
      <c r="I103" s="109">
        <f>PV(C93,D93,0,-I94)</f>
        <v>52.31593152184216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70676.452974346554</v>
      </c>
      <c r="D106" s="109">
        <f>(D100+D103)/2</f>
        <v>21.70456395885666</v>
      </c>
      <c r="E106" s="123">
        <f>(E100+E103)/2</f>
        <v>24.389859234146531</v>
      </c>
      <c r="F106" s="109">
        <f>(F100+F103)/2</f>
        <v>25.699069523152726</v>
      </c>
      <c r="H106" s="123">
        <f>(H100+H103)/2</f>
        <v>27.008279812158925</v>
      </c>
      <c r="I106" s="123">
        <f>(I100+I103)/2</f>
        <v>47.860765618332188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