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8A01A2A-6296-4C35-BAC5-F3EEC206E0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2" i="4"/>
  <c r="F95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<sst xmlns="http://schemas.openxmlformats.org/spreadsheetml/2006/main" count="390" uniqueCount="269">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</sst>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791575204</v>
      </c>
    </row>
    <row r="11" spans="1:5" ht="13.9" x14ac:dyDescent="0.4">
      <c r="B11" s="140" t="s">
        <v>219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266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267</v>
      </c>
      <c r="D19" s="24"/>
    </row>
    <row r="20" spans="2:13" ht="13.9" x14ac:dyDescent="0.4">
      <c r="B20" s="242" t="s">
        <v>229</v>
      </c>
      <c r="C20" s="243" t="s">
        <v>267</v>
      </c>
      <c r="D20" s="24"/>
    </row>
    <row r="21" spans="2:13" ht="13.9" x14ac:dyDescent="0.4">
      <c r="B21" s="225" t="s">
        <v>232</v>
      </c>
      <c r="C21" s="243" t="s">
        <v>266</v>
      </c>
      <c r="D21" s="24"/>
    </row>
    <row r="22" spans="2:13" ht="78.75" x14ac:dyDescent="0.4">
      <c r="B22" s="227" t="s">
        <v>231</v>
      </c>
      <c r="C22" s="244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3.0604060681374581E-2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3496104</v>
      </c>
      <c r="D48" s="60">
        <v>0.9</v>
      </c>
      <c r="E48" s="112"/>
    </row>
    <row r="49" spans="2:5" ht="13.9" x14ac:dyDescent="0.4">
      <c r="B49" s="1" t="s">
        <v>136</v>
      </c>
      <c r="C49" s="59">
        <v>41635</v>
      </c>
      <c r="D49" s="60">
        <v>0.8</v>
      </c>
      <c r="E49" s="112"/>
    </row>
    <row r="50" spans="2:5" ht="13.9" x14ac:dyDescent="0.4">
      <c r="B50" s="3" t="s">
        <v>117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405832</v>
      </c>
      <c r="D51" s="60">
        <v>0.6</v>
      </c>
      <c r="E51" s="112"/>
    </row>
    <row r="52" spans="2:5" ht="13.9" x14ac:dyDescent="0.4">
      <c r="B52" s="3" t="s">
        <v>44</v>
      </c>
      <c r="C52" s="59">
        <v>0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0</v>
      </c>
      <c r="D64" s="60">
        <v>0.4</v>
      </c>
      <c r="E64" s="112"/>
    </row>
    <row r="65" spans="2:5" ht="13.9" x14ac:dyDescent="0.4">
      <c r="B65" s="3" t="s">
        <v>70</v>
      </c>
      <c r="C65" s="59">
        <v>0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27391</v>
      </c>
      <c r="D70" s="60">
        <v>0.05</v>
      </c>
      <c r="E70" s="112"/>
    </row>
    <row r="71" spans="2:5" ht="13.9" x14ac:dyDescent="0.4">
      <c r="B71" s="3" t="s">
        <v>75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>
        <v>174488</v>
      </c>
    </row>
    <row r="74" spans="2:5" ht="13.9" x14ac:dyDescent="0.4">
      <c r="B74" s="3" t="s">
        <v>40</v>
      </c>
      <c r="C74" s="59">
        <v>11884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5753095</v>
      </c>
    </row>
    <row r="78" spans="2:5" ht="14.25" thickTop="1" x14ac:dyDescent="0.4">
      <c r="B78" s="3" t="s">
        <v>62</v>
      </c>
      <c r="C78" s="59">
        <v>432202</v>
      </c>
    </row>
    <row r="79" spans="2:5" ht="13.9" x14ac:dyDescent="0.4">
      <c r="B79" s="3" t="s">
        <v>64</v>
      </c>
      <c r="C79" s="59">
        <v>17265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638511</v>
      </c>
    </row>
    <row r="83" spans="2:8" ht="14.25" thickTop="1" x14ac:dyDescent="0.4">
      <c r="B83" s="73" t="s">
        <v>221</v>
      </c>
      <c r="C83" s="59">
        <v>4357429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106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248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258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247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7761.333333333333</v>
      </c>
      <c r="D97" s="160">
        <f>C97/C91</f>
        <v>7.2128562067984476E-4</v>
      </c>
      <c r="E97" s="254"/>
      <c r="F97" s="253">
        <f>F91*D97</f>
        <v>7761.3333333333321</v>
      </c>
    </row>
    <row r="98" spans="2:7" ht="13.9" x14ac:dyDescent="0.4">
      <c r="B98" s="86" t="s">
        <v>208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0710.HK</v>
      </c>
      <c r="D3" s="277"/>
      <c r="E3" s="87"/>
      <c r="F3" s="3" t="s">
        <v>1</v>
      </c>
      <c r="G3" s="132">
        <v>5.55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京东方精电</v>
      </c>
      <c r="D4" s="279"/>
      <c r="E4" s="87"/>
      <c r="F4" s="3" t="s">
        <v>3</v>
      </c>
      <c r="G4" s="282">
        <f>Inputs!C10</f>
        <v>791575204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4393.2423822000001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C0006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0.8649634921177769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7.2128562067984476E-4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0.9264238113194907</v>
      </c>
    </row>
    <row r="24" spans="1:8" ht="15.75" customHeight="1" x14ac:dyDescent="0.4">
      <c r="B24" s="137" t="s">
        <v>171</v>
      </c>
      <c r="C24" s="172">
        <f>Fin_Analysis!I81</f>
        <v>2.3437755566327548E-3</v>
      </c>
      <c r="F24" s="140" t="s">
        <v>260</v>
      </c>
      <c r="G24" s="269">
        <f>G3/(Fin_Analysis!H86*G7)</f>
        <v>-11.113500185462089</v>
      </c>
    </row>
    <row r="25" spans="1:8" ht="15.75" customHeight="1" x14ac:dyDescent="0.4">
      <c r="B25" s="137" t="s">
        <v>244</v>
      </c>
      <c r="C25" s="172">
        <f>Fin_Analysis!I82</f>
        <v>2.8284501268352451E-2</v>
      </c>
      <c r="F25" s="140" t="s">
        <v>175</v>
      </c>
      <c r="G25" s="172">
        <f>Fin_Analysis!I88</f>
        <v>-0.3401182340583494</v>
      </c>
    </row>
    <row r="26" spans="1:8" ht="15.75" customHeight="1" x14ac:dyDescent="0.4">
      <c r="B26" s="138" t="s">
        <v>174</v>
      </c>
      <c r="C26" s="172">
        <f>Fin_Analysis!I83</f>
        <v>-4.5622430706520396E-2</v>
      </c>
      <c r="F26" s="141" t="s">
        <v>194</v>
      </c>
      <c r="G26" s="179">
        <f>Fin_Analysis!H88*Exchange_Rate/G3</f>
        <v>3.0604060681374581E-2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4357429</v>
      </c>
      <c r="K3" s="24"/>
    </row>
    <row r="4" spans="1:11" ht="15" customHeight="1" x14ac:dyDescent="0.4">
      <c r="B4" s="3" t="s">
        <v>25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1.4900249344048726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-166188.30650251944</v>
      </c>
      <c r="E6" s="56">
        <f>1-D6/D3</f>
        <v>1.0376262177879298</v>
      </c>
      <c r="F6" s="87"/>
      <c r="G6" s="87"/>
      <c r="H6" s="1" t="s">
        <v>30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39</v>
      </c>
      <c r="I11" s="40">
        <f>Inputs!C73</f>
        <v>174488</v>
      </c>
      <c r="J11" s="87"/>
      <c r="K11" s="24"/>
    </row>
    <row r="12" spans="1:11" ht="13.9" x14ac:dyDescent="0.4">
      <c r="B12" s="1" t="s">
        <v>136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40</v>
      </c>
      <c r="I12" s="40">
        <f>Inputs!C74</f>
        <v>11884</v>
      </c>
      <c r="J12" s="87"/>
      <c r="K12" s="24"/>
    </row>
    <row r="13" spans="1:11" ht="13.9" x14ac:dyDescent="0.4">
      <c r="B13" s="3" t="s">
        <v>117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186372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56</v>
      </c>
      <c r="I25" s="63">
        <f>E28/I28</f>
        <v>1.046728865071757</v>
      </c>
    </row>
    <row r="26" spans="2:10" ht="15" customHeight="1" x14ac:dyDescent="0.4">
      <c r="B26" s="23" t="s">
        <v>57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58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60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16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432202</v>
      </c>
      <c r="J30" s="87"/>
    </row>
    <row r="31" spans="2:10" ht="15" customHeight="1" x14ac:dyDescent="0.4">
      <c r="B31" s="3" t="s">
        <v>63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64</v>
      </c>
      <c r="I31" s="40">
        <f>Inputs!C79</f>
        <v>17265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449467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81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83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85</v>
      </c>
      <c r="I48" s="208">
        <f>Inputs!C82</f>
        <v>638511</v>
      </c>
      <c r="J48" s="8"/>
    </row>
    <row r="49" spans="2:11" ht="15" customHeight="1" thickTop="1" x14ac:dyDescent="0.4">
      <c r="B49" s="3" t="s">
        <v>14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86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635839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106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96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173</v>
      </c>
      <c r="C78" s="77">
        <f>MAX(Data!C12,0)</f>
        <v>7761.333333333333</v>
      </c>
      <c r="D78" s="160">
        <f>C78/$C$74</f>
        <v>7.2128562067984476E-4</v>
      </c>
      <c r="E78" s="181">
        <f>E74*F78</f>
        <v>7761.3333333333321</v>
      </c>
      <c r="F78" s="161">
        <f>I78</f>
        <v>7.2128562067984476E-4</v>
      </c>
      <c r="H78" s="239">
        <f>Inputs!F97</f>
        <v>7761.3333333333321</v>
      </c>
      <c r="I78" s="161">
        <f>H78/$H$74</f>
        <v>7.2128562067984476E-4</v>
      </c>
      <c r="K78" s="24"/>
    </row>
    <row r="79" spans="1:11" ht="15" customHeight="1" x14ac:dyDescent="0.4">
      <c r="B79" s="257" t="s">
        <v>233</v>
      </c>
      <c r="C79" s="258">
        <f>C76-C77-C78</f>
        <v>-161343.33333333334</v>
      </c>
      <c r="D79" s="259">
        <f>C79/C74</f>
        <v>-1.4994153881535188E-2</v>
      </c>
      <c r="E79" s="260">
        <f>E76-E77-E78</f>
        <v>-161343.33333333334</v>
      </c>
      <c r="F79" s="259">
        <f>E79/E74</f>
        <v>-1.4994153881535188E-2</v>
      </c>
      <c r="G79" s="261"/>
      <c r="H79" s="260">
        <f>H76-H77-H78</f>
        <v>-161343.33333333334</v>
      </c>
      <c r="I79" s="259">
        <f>H79/H74</f>
        <v>-1.4994153881535188E-2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126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-490916.33333333337</v>
      </c>
      <c r="F83" s="165">
        <f>E83/E74</f>
        <v>-4.5622430706520396E-2</v>
      </c>
      <c r="H83" s="166">
        <f>H79-H81-H82-H80</f>
        <v>-490916.33333333337</v>
      </c>
      <c r="I83" s="165">
        <f>H83/$H$74</f>
        <v>-4.5622430706520396E-2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-368187.25</v>
      </c>
      <c r="D85" s="259">
        <f>C85/$C$74</f>
        <v>-3.4216823029890292E-2</v>
      </c>
      <c r="E85" s="265">
        <f>E83*(1-F84)</f>
        <v>-368187.25</v>
      </c>
      <c r="F85" s="259">
        <f>E85/E74</f>
        <v>-3.4216823029890292E-2</v>
      </c>
      <c r="G85" s="261"/>
      <c r="H85" s="265">
        <f>H83*(1-I84)</f>
        <v>-368187.25</v>
      </c>
      <c r="I85" s="259">
        <f>H85/$H$74</f>
        <v>-3.4216823029890292E-2</v>
      </c>
      <c r="K85" s="24"/>
    </row>
    <row r="86" spans="1:11" ht="15" customHeight="1" x14ac:dyDescent="0.4">
      <c r="B86" s="87" t="s">
        <v>161</v>
      </c>
      <c r="C86" s="168">
        <f>C85*Data!C4/Common_Shares</f>
        <v>-0.46513236915389783</v>
      </c>
      <c r="D86" s="210"/>
      <c r="E86" s="169">
        <f>E85*Data!C4/Common_Shares</f>
        <v>-0.46513236915389783</v>
      </c>
      <c r="F86" s="210"/>
      <c r="H86" s="169">
        <f>H85*Data!C4/Common_Shares</f>
        <v>-0.46513236915389783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-8.9980652657758606E-2</v>
      </c>
      <c r="D87" s="210"/>
      <c r="E87" s="263">
        <f>E86*Exchange_Rate/Dashboard!G3</f>
        <v>-8.9980652657758606E-2</v>
      </c>
      <c r="F87" s="210"/>
      <c r="H87" s="263">
        <f>H86*Exchange_Rate/Dashboard!G3</f>
        <v>-8.9980652657758606E-2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-0.3401182340583494</v>
      </c>
      <c r="H88" s="171">
        <f>Inputs!F98</f>
        <v>0.15820000000000001</v>
      </c>
      <c r="I88" s="167">
        <f>H88/H86</f>
        <v>-0.3401182340583494</v>
      </c>
      <c r="K88" s="24"/>
    </row>
    <row r="89" spans="1:11" ht="15" customHeight="1" x14ac:dyDescent="0.4">
      <c r="B89" s="87" t="s">
        <v>222</v>
      </c>
      <c r="C89" s="262">
        <f>C88*Exchange_Rate/Dashboard!G3</f>
        <v>3.0604060681374581E-2</v>
      </c>
      <c r="D89" s="210"/>
      <c r="E89" s="262">
        <f>E88*Exchange_Rate/Dashboard!G3</f>
        <v>3.0604060681374581E-2</v>
      </c>
      <c r="F89" s="210"/>
      <c r="H89" s="262">
        <f>H88*Exchange_Rate/Dashboard!G3</f>
        <v>3.0604060681374581E-2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-4.3287524862236832</v>
      </c>
      <c r="H93" s="87" t="s">
        <v>210</v>
      </c>
      <c r="I93" s="144">
        <f>FV(H87,D93,0,-(H86/C93))*Exchange_Rate</f>
        <v>-4.3287524862236832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2.742829346923044</v>
      </c>
      <c r="H94" s="87" t="s">
        <v>211</v>
      </c>
      <c r="I94" s="144">
        <f>FV(H89,D93,0,-(H88/C93))*Exchange_Rate</f>
        <v>2.742829346923044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-1703592.5561322111</v>
      </c>
      <c r="D97" s="214"/>
      <c r="E97" s="123">
        <f>PV(C94,D93,0,-F93)</f>
        <v>-2.1521550290150464</v>
      </c>
      <c r="F97" s="214"/>
      <c r="H97" s="123">
        <f>PV(C94,D93,0,-I93)</f>
        <v>-2.1521550290150464</v>
      </c>
      <c r="I97" s="123">
        <f>PV(C93,D93,0,-I93)</f>
        <v>-3.0576574324761627</v>
      </c>
      <c r="K97" s="24"/>
    </row>
    <row r="98" spans="2:11" ht="15" customHeight="1" x14ac:dyDescent="0.4">
      <c r="B98" s="28" t="s">
        <v>145</v>
      </c>
      <c r="C98" s="91">
        <f>E53*Exchange_Rate</f>
        <v>63767.709968845047</v>
      </c>
      <c r="D98" s="214"/>
      <c r="E98" s="214"/>
      <c r="F98" s="214"/>
      <c r="H98" s="123">
        <f>C98*Data!$C$4/Common_Shares</f>
        <v>8.0557993285556545E-2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-1767360.2661010562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1079448.1026646572</v>
      </c>
      <c r="D103" s="109">
        <f>MIN(F103*(1-C94),E103)</f>
        <v>1.1591202991560086</v>
      </c>
      <c r="E103" s="123">
        <f>PV(C94,D93,0,-F94)</f>
        <v>1.3636709401835396</v>
      </c>
      <c r="F103" s="109">
        <f>(E103+H103)/2</f>
        <v>1.3636709401835396</v>
      </c>
      <c r="H103" s="123">
        <f>PV(C94,D93,0,-I94)</f>
        <v>1.3636709401835396</v>
      </c>
      <c r="I103" s="109">
        <f>PV(C93,D93,0,-I94)</f>
        <v>1.937424827435517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539724.05133232858</v>
      </c>
      <c r="D106" s="109">
        <f>(D100+D103)/2</f>
        <v>0.57956014957800428</v>
      </c>
      <c r="E106" s="123">
        <f>(E100+E103)/2</f>
        <v>0.68183547009176981</v>
      </c>
      <c r="F106" s="109">
        <f>(F100+F103)/2</f>
        <v>0.68183547009176981</v>
      </c>
      <c r="H106" s="123">
        <f>(H100+H103)/2</f>
        <v>0.68183547009176981</v>
      </c>
      <c r="I106" s="123">
        <f>(I100+I103)/2</f>
        <v>0.96871241371775851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