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9811B33-3142-41FD-90ED-B408E974C9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<sst xmlns="http://schemas.openxmlformats.org/spreadsheetml/2006/main" count="390" uniqueCount="270">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</sst>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183020977818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266</v>
      </c>
      <c r="D17" s="24"/>
    </row>
    <row r="18" spans="2:13" ht="13.9" x14ac:dyDescent="0.4">
      <c r="B18" s="241" t="s">
        <v>239</v>
      </c>
      <c r="C18" s="243" t="s">
        <v>267</v>
      </c>
      <c r="D18" s="24"/>
    </row>
    <row r="19" spans="2:13" ht="13.9" x14ac:dyDescent="0.4">
      <c r="B19" s="241" t="s">
        <v>240</v>
      </c>
      <c r="C19" s="243" t="s">
        <v>268</v>
      </c>
      <c r="D19" s="24"/>
    </row>
    <row r="20" spans="2:13" ht="13.9" x14ac:dyDescent="0.4">
      <c r="B20" s="242" t="s">
        <v>229</v>
      </c>
      <c r="C20" s="243" t="s">
        <v>267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106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104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107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111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110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105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108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8.768251284064485E-2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238880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9895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24847</v>
      </c>
      <c r="D54" s="60">
        <v>0.1</v>
      </c>
      <c r="E54" s="112"/>
    </row>
    <row r="55" spans="2:5" ht="13.9" x14ac:dyDescent="0.4">
      <c r="B55" s="3" t="s">
        <v>47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292606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201156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91529</v>
      </c>
      <c r="D70" s="60">
        <v>0.05</v>
      </c>
      <c r="E70" s="112"/>
    </row>
    <row r="71" spans="2:5" ht="13.9" x14ac:dyDescent="0.4">
      <c r="B71" s="3" t="s">
        <v>75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71887</v>
      </c>
      <c r="D72" s="249">
        <v>0</v>
      </c>
      <c r="E72" s="250"/>
    </row>
    <row r="73" spans="2:5" ht="13.9" x14ac:dyDescent="0.4">
      <c r="B73" s="3" t="s">
        <v>39</v>
      </c>
      <c r="C73" s="59">
        <v>40594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11824</v>
      </c>
    </row>
    <row r="77" spans="2:5" ht="14.25" thickBot="1" x14ac:dyDescent="0.45">
      <c r="B77" s="80" t="s">
        <v>16</v>
      </c>
      <c r="C77" s="83">
        <v>716641</v>
      </c>
    </row>
    <row r="78" spans="2:5" ht="14.25" thickTop="1" x14ac:dyDescent="0.4">
      <c r="B78" s="3" t="s">
        <v>62</v>
      </c>
      <c r="C78" s="59">
        <v>70126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11000</v>
      </c>
    </row>
    <row r="82" spans="2:8" ht="14.25" thickBot="1" x14ac:dyDescent="0.45">
      <c r="B82" s="80" t="s">
        <v>85</v>
      </c>
      <c r="C82" s="83">
        <v>373503</v>
      </c>
    </row>
    <row r="83" spans="2:8" ht="14.25" thickTop="1" x14ac:dyDescent="0.4">
      <c r="B83" s="73" t="s">
        <v>221</v>
      </c>
      <c r="C83" s="59">
        <v>1489904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106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248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258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247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173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208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0857.HK</v>
      </c>
      <c r="D3" s="277"/>
      <c r="E3" s="87"/>
      <c r="F3" s="3" t="s">
        <v>1</v>
      </c>
      <c r="G3" s="132">
        <v>5.51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中國石油股份</v>
      </c>
      <c r="D4" s="279"/>
      <c r="E4" s="87"/>
      <c r="F4" s="3" t="s">
        <v>3</v>
      </c>
      <c r="G4" s="282">
        <f>Inputs!C10</f>
        <v>183020977818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1008445.5877771799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C0013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0.86263355974668987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9.1579398111554088E-3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0.55971744620351915</v>
      </c>
    </row>
    <row r="24" spans="1:8" ht="15.75" customHeight="1" x14ac:dyDescent="0.4">
      <c r="B24" s="137" t="s">
        <v>171</v>
      </c>
      <c r="C24" s="172">
        <f>Fin_Analysis!I81</f>
        <v>7.9916652607163307E-3</v>
      </c>
      <c r="F24" s="140" t="s">
        <v>260</v>
      </c>
      <c r="G24" s="269">
        <f>G3/(Fin_Analysis!H86*G7)</f>
        <v>8.3493086140990496</v>
      </c>
    </row>
    <row r="25" spans="1:8" ht="15.75" customHeight="1" x14ac:dyDescent="0.4">
      <c r="B25" s="137" t="s">
        <v>244</v>
      </c>
      <c r="C25" s="172">
        <f>Fin_Analysis!I82</f>
        <v>0.02</v>
      </c>
      <c r="F25" s="140" t="s">
        <v>175</v>
      </c>
      <c r="G25" s="172">
        <f>Fin_Analysis!I88</f>
        <v>0.73208835976624664</v>
      </c>
    </row>
    <row r="26" spans="1:8" ht="15.75" customHeight="1" x14ac:dyDescent="0.4">
      <c r="B26" s="138" t="s">
        <v>174</v>
      </c>
      <c r="C26" s="172">
        <f>Fin_Analysis!I83</f>
        <v>4.9816835181438444E-2</v>
      </c>
      <c r="F26" s="141" t="s">
        <v>194</v>
      </c>
      <c r="G26" s="179">
        <f>Fin_Analysis!H88*Exchange_Rate/G3</f>
        <v>8.768251284064485E-2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4.1676360231094316</v>
      </c>
      <c r="D29" s="129">
        <f>G29*(1+G20)</f>
        <v>11.838093840562999</v>
      </c>
      <c r="E29" s="87"/>
      <c r="F29" s="131">
        <f>IF(Fin_Analysis!C108="Profit",Fin_Analysis!F100,IF(Fin_Analysis!C108="Dividend",Fin_Analysis!F103,Fin_Analysis!F106))</f>
        <v>5.5430566372840868</v>
      </c>
      <c r="G29" s="273">
        <f>IF(Fin_Analysis!C108="Profit",Fin_Analysis!I100,IF(Fin_Analysis!C108="Dividend",Fin_Analysis!I103,Fin_Analysis!I106))</f>
        <v>10.293994643967826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disagree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-697712.37052612298</v>
      </c>
      <c r="E6" s="56">
        <f>1-D6/D3</f>
        <v>1.4157620732591862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39</v>
      </c>
      <c r="I11" s="40">
        <f>Inputs!C73</f>
        <v>40594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43</v>
      </c>
      <c r="I14" s="206">
        <f>Inputs!C76</f>
        <v>11824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159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16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70126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67</v>
      </c>
      <c r="I33" s="206">
        <f>Inputs!C81</f>
        <v>11000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08">
        <f>Inputs!C82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133544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96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173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233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126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161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0.14345972294052381</v>
      </c>
      <c r="D87" s="210"/>
      <c r="E87" s="263">
        <f>E86*Exchange_Rate/Dashboard!G3</f>
        <v>9.0038811556012177E-2</v>
      </c>
      <c r="F87" s="210"/>
      <c r="H87" s="263">
        <f>H86*Exchange_Rate/Dashboard!G3</f>
        <v>0.11977039611535634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222</v>
      </c>
      <c r="C89" s="262">
        <f>C88*Exchange_Rate/Dashboard!G3</f>
        <v>8.768251284064485E-2</v>
      </c>
      <c r="D89" s="210"/>
      <c r="E89" s="262">
        <f>E88*Exchange_Rate/Dashboard!G3</f>
        <v>7.0146010272515893E-2</v>
      </c>
      <c r="F89" s="210"/>
      <c r="H89" s="262">
        <f>H88*Exchange_Rate/Dashboard!G3</f>
        <v>8.768251284064485E-2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10.603730081825985</v>
      </c>
      <c r="H93" s="87" t="s">
        <v>210</v>
      </c>
      <c r="I93" s="144">
        <f>FV(H87,D93,0,-(H86/C93))*Exchange_Rate</f>
        <v>16.136654358137697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7.5342020072596982</v>
      </c>
      <c r="H94" s="87" t="s">
        <v>211</v>
      </c>
      <c r="I94" s="144">
        <f>FV(H89,D93,0,-(H88/C93))*Exchange_Rate</f>
        <v>10.21510467245634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1468335.0514228113</v>
      </c>
      <c r="D97" s="214"/>
      <c r="E97" s="123">
        <f>PV(C94,D93,0,-F93)</f>
        <v>5.2719279040665112</v>
      </c>
      <c r="F97" s="214"/>
      <c r="H97" s="123">
        <f>PV(C94,D93,0,-I93)</f>
        <v>8.0227691324158226</v>
      </c>
      <c r="I97" s="123">
        <f>PV(C93,D93,0,-I93)</f>
        <v>11.398286524924906</v>
      </c>
      <c r="K97" s="24"/>
    </row>
    <row r="98" spans="2:11" ht="15" customHeight="1" x14ac:dyDescent="0.4">
      <c r="B98" s="28" t="s">
        <v>145</v>
      </c>
      <c r="C98" s="91">
        <f>E53*Exchange_Rate</f>
        <v>202108.57984924316</v>
      </c>
      <c r="D98" s="214"/>
      <c r="E98" s="214"/>
      <c r="F98" s="214"/>
      <c r="H98" s="123">
        <f>C98*Data!$C$4/Common_Shares</f>
        <v>1.1042918809570796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1266226.4715735682</v>
      </c>
      <c r="D100" s="109">
        <f>MIN(F100*(1-C94),E100)</f>
        <v>4.1676360231094316</v>
      </c>
      <c r="E100" s="109">
        <f>MAX(E97-H98+E99,0)</f>
        <v>4.1676360231094316</v>
      </c>
      <c r="F100" s="109">
        <f>(E100+H100)/2</f>
        <v>5.5430566372840868</v>
      </c>
      <c r="H100" s="109">
        <f>MAX(C100*Data!$C$4/Common_Shares,0)</f>
        <v>6.918477251458742</v>
      </c>
      <c r="I100" s="109">
        <f>MAX(I97-H98+H99,0)</f>
        <v>10.293994643967826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929510.90800036269</v>
      </c>
      <c r="D103" s="109">
        <f>MIN(F103*(1-C94),E103)</f>
        <v>3.7458299570471993</v>
      </c>
      <c r="E103" s="123">
        <f>PV(C94,D93,0,-F94)</f>
        <v>3.7458299570471993</v>
      </c>
      <c r="F103" s="109">
        <f>(E103+H103)/2</f>
        <v>4.4122711744146752</v>
      </c>
      <c r="H103" s="123">
        <f>PV(C94,D93,0,-I94)</f>
        <v>5.0787123917821502</v>
      </c>
      <c r="I103" s="109">
        <f>PV(C93,D93,0,-I94)</f>
        <v>7.2155409265513981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724165.14080887218</v>
      </c>
      <c r="D106" s="109">
        <f>(D100+D103)/2</f>
        <v>3.9567329900783155</v>
      </c>
      <c r="E106" s="123">
        <f>(E100+E103)/2</f>
        <v>3.9567329900783155</v>
      </c>
      <c r="F106" s="109">
        <f>(F100+F103)/2</f>
        <v>4.977663905849381</v>
      </c>
      <c r="H106" s="123">
        <f>(H100+H103)/2</f>
        <v>5.9985948216204461</v>
      </c>
      <c r="I106" s="123">
        <f>(I100+I103)/2</f>
        <v>8.7547677852596131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