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387AE0-54C6-4264-AA85-642EEA7117A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E95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<sst xmlns="http://schemas.openxmlformats.org/spreadsheetml/2006/main" count="390" uniqueCount="268">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</sst>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262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264</v>
      </c>
      <c r="E8" s="268"/>
    </row>
    <row r="9" spans="1:5" ht="13.9" x14ac:dyDescent="0.4">
      <c r="B9" s="140" t="s">
        <v>217</v>
      </c>
      <c r="C9" s="193" t="s">
        <v>265</v>
      </c>
    </row>
    <row r="10" spans="1:5" ht="13.9" x14ac:dyDescent="0.4">
      <c r="B10" s="140" t="s">
        <v>218</v>
      </c>
      <c r="C10" s="194">
        <v>4570632324</v>
      </c>
    </row>
    <row r="11" spans="1:5" ht="13.9" x14ac:dyDescent="0.4">
      <c r="B11" s="140" t="s">
        <v>219</v>
      </c>
      <c r="C11" s="193" t="s">
        <v>266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267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4.0011617387665649E-2</v>
      </c>
      <c r="D45" s="153">
        <f>IF(D44="","",D44*Exchange_Rate/Dashboard!$G$3)</f>
        <v>3.9367423190010908E-2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106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248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258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208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1066.HK</v>
      </c>
      <c r="D3" s="277"/>
      <c r="E3" s="87"/>
      <c r="F3" s="3" t="s">
        <v>1</v>
      </c>
      <c r="G3" s="132">
        <v>4.5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威高股份</v>
      </c>
      <c r="D4" s="279"/>
      <c r="E4" s="87"/>
      <c r="F4" s="3" t="s">
        <v>3</v>
      </c>
      <c r="G4" s="282">
        <f>Inputs!C10</f>
        <v>4570632324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20567.845458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0.49786034237394394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6.0164745032668145E-3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2.063358175126364E-2</v>
      </c>
      <c r="F24" s="140" t="s">
        <v>261</v>
      </c>
      <c r="G24" s="269">
        <f>G3/(Fin_Analysis!H86*G7)</f>
        <v>13.69274836568964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0.54786900859355803</v>
      </c>
    </row>
    <row r="26" spans="1:8" ht="15.75" customHeight="1" x14ac:dyDescent="0.4">
      <c r="B26" s="138" t="s">
        <v>174</v>
      </c>
      <c r="C26" s="172">
        <f>Fin_Analysis!I83</f>
        <v>0.14100336070836289</v>
      </c>
      <c r="F26" s="141" t="s">
        <v>194</v>
      </c>
      <c r="G26" s="179">
        <f>Fin_Analysis!H88*Exchange_Rate/G3</f>
        <v>4.0011617387665649E-2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2.7439815209255798</v>
      </c>
      <c r="D29" s="129">
        <f>G29*(1+G20)</f>
        <v>5.2744280449724537</v>
      </c>
      <c r="E29" s="87"/>
      <c r="F29" s="131">
        <f>IF(Fin_Analysis!C108="Profit",Fin_Analysis!F100,IF(Fin_Analysis!C108="Dividend",Fin_Analysis!F103,Fin_Analysis!F106))</f>
        <v>3.228213554030094</v>
      </c>
      <c r="G29" s="273">
        <f>IF(Fin_Analysis!C108="Profit",Fin_Analysis!I100,IF(Fin_Analysis!C108="Dividend",Fin_Analysis!I103,Fin_Analysis!I106))</f>
        <v>4.5864591695412642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96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173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233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161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7.3031357423154877E-2</v>
      </c>
      <c r="D87" s="210"/>
      <c r="E87" s="263">
        <f>E86*Exchange_Rate/Dashboard!G3</f>
        <v>7.3031357423154877E-2</v>
      </c>
      <c r="F87" s="210"/>
      <c r="H87" s="263">
        <f>H86*Exchange_Rate/Dashboard!G3</f>
        <v>7.3031357423154877E-2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222</v>
      </c>
      <c r="C89" s="262">
        <f>C88*Exchange_Rate/Dashboard!G3</f>
        <v>4.0011617387665649E-2</v>
      </c>
      <c r="D89" s="210"/>
      <c r="E89" s="262">
        <f>E88*Exchange_Rate/Dashboard!G3</f>
        <v>4.0011617387665649E-2</v>
      </c>
      <c r="F89" s="210"/>
      <c r="H89" s="262">
        <f>H88*Exchange_Rate/Dashboard!G3</f>
        <v>4.0011617387665649E-2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6.493090534683347</v>
      </c>
      <c r="H93" s="87" t="s">
        <v>210</v>
      </c>
      <c r="I93" s="144">
        <f>FV(H87,D93,0,-(H86/C93))*Exchange_Rate</f>
        <v>6.493090534683347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3.0426855884181014</v>
      </c>
      <c r="H94" s="87" t="s">
        <v>211</v>
      </c>
      <c r="I94" s="144">
        <f>FV(H89,D93,0,-(H88/C93))*Exchange_Rate</f>
        <v>3.0426855884181014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14754977.218824869</v>
      </c>
      <c r="D97" s="214"/>
      <c r="E97" s="123">
        <f>PV(C94,D93,0,-F93)</f>
        <v>3.228213554030094</v>
      </c>
      <c r="F97" s="214"/>
      <c r="H97" s="123">
        <f>PV(C94,D93,0,-I93)</f>
        <v>3.228213554030094</v>
      </c>
      <c r="I97" s="123">
        <f>PV(C93,D93,0,-I93)</f>
        <v>4.5864591695412642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14754977.218824869</v>
      </c>
      <c r="D100" s="109">
        <f>MIN(F100*(1-C94),E100)</f>
        <v>2.7439815209255798</v>
      </c>
      <c r="E100" s="109">
        <f>MAX(E97-H98+E99,0)</f>
        <v>3.228213554030094</v>
      </c>
      <c r="F100" s="109">
        <f>(E100+H100)/2</f>
        <v>3.228213554030094</v>
      </c>
      <c r="H100" s="109">
        <f>MAX(C100*Data!$C$4/Common_Shares,0)</f>
        <v>3.228213554030094</v>
      </c>
      <c r="I100" s="109">
        <f>MAX(I97-H98+H99,0)</f>
        <v>4.5864591695412642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6914235.4170709616</v>
      </c>
      <c r="D103" s="109">
        <f>MIN(F103*(1-C94),E103)</f>
        <v>1.2858396142805375</v>
      </c>
      <c r="E103" s="123">
        <f>PV(C94,D93,0,-F94)</f>
        <v>1.5127524873888678</v>
      </c>
      <c r="F103" s="109">
        <f>(E103+H103)/2</f>
        <v>1.5127524873888678</v>
      </c>
      <c r="H103" s="123">
        <f>PV(C94,D93,0,-I94)</f>
        <v>1.5127524873888678</v>
      </c>
      <c r="I103" s="109">
        <f>PV(C93,D93,0,-I94)</f>
        <v>2.1492312701461231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10834606.317947915</v>
      </c>
      <c r="D106" s="109">
        <f>(D100+D103)/2</f>
        <v>2.0149105676030588</v>
      </c>
      <c r="E106" s="123">
        <f>(E100+E103)/2</f>
        <v>2.3704830207094809</v>
      </c>
      <c r="F106" s="109">
        <f>(F100+F103)/2</f>
        <v>2.3704830207094809</v>
      </c>
      <c r="H106" s="123">
        <f>(H100+H103)/2</f>
        <v>2.3704830207094809</v>
      </c>
      <c r="I106" s="123">
        <f>(I100+I103)/2</f>
        <v>3.3678452198436934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