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0C12B4E-4D0F-4921-9C5D-005A79BF22D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F92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<sst xmlns="http://schemas.openxmlformats.org/spreadsheetml/2006/main" count="390" uniqueCount="269">
  <si>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</si>
  <si>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</si>
  <si>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</si>
  <si>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</si>
  <si>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</si>
  <si>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</si>
  <si>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</si>
  <si>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</si>
  <si>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</si>
  <si>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</si>
  <si>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</si>
  <si>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</si>
  <si>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</si>
  <si>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</si>
  <si>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</si>
  <si>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</si>
  <si>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</si>
  <si>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</si>
  <si>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</si>
  <si>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</si>
  <si>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</si>
  <si>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</si>
  <si>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</si>
  <si>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</si>
  <si>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</si>
  <si>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</si>
  <si>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</si>
  <si>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</si>
  <si>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</si>
  <si>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</si>
  <si>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</si>
  <si>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</si>
  <si>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</si>
  <si>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</si>
  <si>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</si>
  <si>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</si>
  <si>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</si>
  <si>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</si>
  <si>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</si>
  <si>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</si>
  <si>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</si>
  <si>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</si>
  <si>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</si>
  <si>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</si>
  <si>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</si>
  <si>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</si>
  <si>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</si>
  <si>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</si>
  <si>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</si>
  <si>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</si>
  <si>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</si>
  <si>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</si>
  <si>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</si>
  <si>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</si>
  <si>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</si>
  <si>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</si>
  <si>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</si>
  <si>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</si>
  <si>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</si>
  <si>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</si>
  <si>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</si>
  <si>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</si>
  <si>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</si>
  <si>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</si>
  <si>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</si>
  <si>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</si>
  <si>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</si>
  <si>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</si>
  <si>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</si>
  <si>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</si>
  <si>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</si>
  <si>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</si>
  <si>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</si>
  <si>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</si>
  <si>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</si>
  <si>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</si>
  <si>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</si>
  <si>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</si>
  <si>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</si>
  <si>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</si>
  <si>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</si>
  <si>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</si>
  <si>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</si>
  <si>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</si>
  <si>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</si>
  <si>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</si>
  <si>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</si>
  <si>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</si>
  <si>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</si>
  <si>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</si>
  <si>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</si>
  <si>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</si>
  <si>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</si>
  <si>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</si>
  <si>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</si>
  <si>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</si>
  <si>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</si>
  <si>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</si>
  <si>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</si>
  <si>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</si>
  <si>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</si>
  <si>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</si>
  <si>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</si>
  <si>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</si>
  <si>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</si>
  <si>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</si>
  <si>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</si>
  <si>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</si>
  <si>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</si>
  <si>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</si>
  <si>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</si>
  <si>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</si>
  <si>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</si>
  <si>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</si>
  <si>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</si>
  <si>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</si>
  <si>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</si>
  <si>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</si>
  <si>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</si>
  <si>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</si>
  <si>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</si>
  <si>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</si>
  <si>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</si>
  <si>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</si>
  <si>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</si>
  <si>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</si>
  <si>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</si>
  <si>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</si>
  <si>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</si>
  <si>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</si>
  <si>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</si>
  <si>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</si>
  <si>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</si>
  <si>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</si>
  <si>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</si>
  <si>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</si>
  <si>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</si>
  <si>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</si>
  <si>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</si>
  <si>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</si>
  <si>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</si>
  <si>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</si>
  <si>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</si>
  <si>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</si>
  <si>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</si>
  <si>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</si>
  <si>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</si>
  <si>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</si>
  <si>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</si>
  <si>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</si>
  <si>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</si>
  <si>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</si>
  <si>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</si>
  <si>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</si>
  <si>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</si>
  <si>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</si>
  <si>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</si>
  <si>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</si>
  <si>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</si>
  <si>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</si>
  <si>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</si>
  <si>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</si>
  <si>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</si>
  <si>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</si>
  <si>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</si>
  <si>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</si>
  <si>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</si>
  <si>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</si>
  <si>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</si>
  <si>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</si>
  <si>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</si>
  <si>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</si>
  <si>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</si>
  <si>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</si>
  <si>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</si>
  <si>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</si>
  <si>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</si>
  <si>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</si>
  <si>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</si>
  <si>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</si>
  <si>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</si>
  <si>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</si>
  <si>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</si>
  <si>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</si>
  <si>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</si>
  <si>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</si>
  <si>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</si>
  <si>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</si>
  <si>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</si>
  <si>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</si>
  <si>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</si>
  <si>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</si>
  <si>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</si>
  <si>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</si>
  <si>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</si>
  <si>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</si>
  <si>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</si>
  <si>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</si>
  <si>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</si>
  <si>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</si>
  <si>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</si>
  <si>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</si>
  <si>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</si>
  <si>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</si>
  <si>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</si>
  <si>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</si>
  <si>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</si>
  <si>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</si>
  <si>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</si>
  <si>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</si>
  <si>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</si>
  <si>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</si>
  <si>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</si>
  <si>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</si>
  <si>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</si>
  <si>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</si>
  <si>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</si>
  <si>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</si>
  <si>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</si>
  <si>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</si>
  <si>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</si>
  <si>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</si>
  <si>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</si>
  <si>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</si>
  <si>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</si>
  <si>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</si>
  <si>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</si>
  <si>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</si>
  <si>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</si>
  <si>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</si>
  <si>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</si>
  <si>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</si>
  <si>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</si>
  <si>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</si>
  <si>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</si>
  <si>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</si>
  <si>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</si>
  <si>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</si>
  <si>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</si>
  <si>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</si>
  <si>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</si>
  <si>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</si>
  <si>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</si>
  <si>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</si>
  <si>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</si>
  <si>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</si>
  <si>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</si>
  <si>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</si>
  <si>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</si>
  <si>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</si>
  <si>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</si>
  <si>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</si>
  <si>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</si>
  <si>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</si>
  <si>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</si>
  <si>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</si>
  <si>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</si>
  <si>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</si>
  <si>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</si>
  <si>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</si>
  <si>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1766.HK</t>
  </si>
  <si>
    <t>中国中车</t>
  </si>
  <si>
    <t>C0004</t>
  </si>
  <si>
    <t>CNY</t>
  </si>
  <si>
    <t>CN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</si>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</sst>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260</v>
      </c>
    </row>
    <row r="5" spans="1:5" ht="13.9" x14ac:dyDescent="0.4">
      <c r="B5" s="141" t="s">
        <v>196</v>
      </c>
      <c r="C5" s="192" t="s">
        <v>261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262</v>
      </c>
    </row>
    <row r="10" spans="1:5" ht="13.9" x14ac:dyDescent="0.4">
      <c r="B10" s="140" t="s">
        <v>218</v>
      </c>
      <c r="C10" s="194">
        <v>28698864088</v>
      </c>
    </row>
    <row r="11" spans="1:5" ht="13.9" x14ac:dyDescent="0.4">
      <c r="B11" s="140" t="s">
        <v>219</v>
      </c>
      <c r="C11" s="193" t="s">
        <v>263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265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266</v>
      </c>
      <c r="D19" s="24"/>
    </row>
    <row r="20" spans="2:13" ht="13.9" x14ac:dyDescent="0.4">
      <c r="B20" s="242" t="s">
        <v>229</v>
      </c>
      <c r="C20" s="243" t="s">
        <v>266</v>
      </c>
      <c r="D20" s="24"/>
    </row>
    <row r="21" spans="2:13" ht="13.9" x14ac:dyDescent="0.4">
      <c r="B21" s="225" t="s">
        <v>232</v>
      </c>
      <c r="C21" s="243" t="s">
        <v>265</v>
      </c>
      <c r="D21" s="24"/>
    </row>
    <row r="22" spans="2:13" ht="78.75" x14ac:dyDescent="0.4">
      <c r="B22" s="227" t="s">
        <v>231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234261514</v>
      </c>
      <c r="D25" s="150">
        <v>222938637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183809908</v>
      </c>
      <c r="D26" s="151">
        <v>177260463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37506984</v>
      </c>
      <c r="D27" s="151">
        <v>599182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0</v>
      </c>
      <c r="D29" s="151">
        <v>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3160304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131280367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66848740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734909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18682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6202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10412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2824568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7297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0.2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4.71937141138992E-2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47742240</v>
      </c>
      <c r="D48" s="60">
        <v>0.9</v>
      </c>
      <c r="E48" s="112"/>
    </row>
    <row r="49" spans="2:5" ht="13.9" x14ac:dyDescent="0.4">
      <c r="B49" s="1" t="s">
        <v>136</v>
      </c>
      <c r="C49" s="59">
        <v>0</v>
      </c>
      <c r="D49" s="60">
        <v>0.8</v>
      </c>
      <c r="E49" s="112"/>
    </row>
    <row r="50" spans="2:5" ht="13.9" x14ac:dyDescent="0.4">
      <c r="B50" s="3" t="s">
        <v>117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7768559</v>
      </c>
      <c r="D51" s="60">
        <v>0.6</v>
      </c>
      <c r="E51" s="112"/>
    </row>
    <row r="52" spans="2:5" ht="13.9" x14ac:dyDescent="0.4">
      <c r="B52" s="3" t="s">
        <v>44</v>
      </c>
      <c r="C52" s="59">
        <v>0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44533603</v>
      </c>
      <c r="D54" s="60">
        <v>0.1</v>
      </c>
      <c r="E54" s="112"/>
    </row>
    <row r="55" spans="2:5" ht="13.9" x14ac:dyDescent="0.4">
      <c r="B55" s="3" t="s">
        <v>47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0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11709109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7301425</v>
      </c>
      <c r="D64" s="60">
        <v>0.4</v>
      </c>
      <c r="E64" s="112"/>
    </row>
    <row r="65" spans="2:5" ht="13.9" x14ac:dyDescent="0.4">
      <c r="B65" s="3" t="s">
        <v>70</v>
      </c>
      <c r="C65" s="59">
        <v>21620835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805212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6765810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17178235</v>
      </c>
      <c r="D70" s="60">
        <v>0.05</v>
      </c>
      <c r="E70" s="112"/>
    </row>
    <row r="71" spans="2:5" ht="13.9" x14ac:dyDescent="0.4">
      <c r="B71" s="3" t="s">
        <v>75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37623092</v>
      </c>
      <c r="D72" s="249">
        <v>0</v>
      </c>
      <c r="E72" s="250"/>
    </row>
    <row r="73" spans="2:5" ht="13.9" x14ac:dyDescent="0.4">
      <c r="B73" s="3" t="s">
        <v>39</v>
      </c>
      <c r="C73" s="59">
        <v>12970041</v>
      </c>
    </row>
    <row r="74" spans="2:5" ht="13.9" x14ac:dyDescent="0.4">
      <c r="B74" s="3" t="s">
        <v>40</v>
      </c>
      <c r="C74" s="59">
        <v>13416</v>
      </c>
    </row>
    <row r="75" spans="2:5" ht="13.9" x14ac:dyDescent="0.4">
      <c r="B75" s="3" t="s">
        <v>41</v>
      </c>
      <c r="C75" s="59">
        <v>0</v>
      </c>
    </row>
    <row r="76" spans="2:5" ht="13.9" x14ac:dyDescent="0.4">
      <c r="B76" s="86" t="s">
        <v>43</v>
      </c>
      <c r="C76" s="120">
        <v>9668</v>
      </c>
    </row>
    <row r="77" spans="2:5" ht="14.25" thickBot="1" x14ac:dyDescent="0.45">
      <c r="B77" s="80" t="s">
        <v>16</v>
      </c>
      <c r="C77" s="83">
        <v>255569971</v>
      </c>
    </row>
    <row r="78" spans="2:5" ht="14.25" thickTop="1" x14ac:dyDescent="0.4">
      <c r="B78" s="3" t="s">
        <v>62</v>
      </c>
      <c r="C78" s="59">
        <v>6315552</v>
      </c>
    </row>
    <row r="79" spans="2:5" ht="13.9" x14ac:dyDescent="0.4">
      <c r="B79" s="3" t="s">
        <v>64</v>
      </c>
      <c r="C79" s="59">
        <v>1694399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24023311</v>
      </c>
    </row>
    <row r="83" spans="2:8" ht="14.25" thickTop="1" x14ac:dyDescent="0.4">
      <c r="B83" s="73" t="s">
        <v>221</v>
      </c>
      <c r="C83" s="59">
        <v>160389894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268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234261514</v>
      </c>
      <c r="D91" s="210"/>
      <c r="E91" s="252">
        <f>C91</f>
        <v>234261514</v>
      </c>
      <c r="F91" s="252">
        <f>C91</f>
        <v>234261514</v>
      </c>
    </row>
    <row r="92" spans="2:8" ht="13.9" x14ac:dyDescent="0.4">
      <c r="B92" s="104" t="s">
        <v>106</v>
      </c>
      <c r="C92" s="77">
        <f>C26</f>
        <v>183809908</v>
      </c>
      <c r="D92" s="160">
        <f>C92/C91</f>
        <v>0.78463553343209413</v>
      </c>
      <c r="E92" s="253">
        <f>E91*D92</f>
        <v>183809908</v>
      </c>
      <c r="F92" s="253">
        <f>F91*D92</f>
        <v>183809908</v>
      </c>
    </row>
    <row r="93" spans="2:8" ht="13.9" x14ac:dyDescent="0.4">
      <c r="B93" s="104" t="s">
        <v>248</v>
      </c>
      <c r="C93" s="77">
        <f>C27+C28</f>
        <v>37506984</v>
      </c>
      <c r="D93" s="160">
        <f>C93/C91</f>
        <v>0.16010732347610457</v>
      </c>
      <c r="E93" s="253">
        <f>E91*D93</f>
        <v>37506984</v>
      </c>
      <c r="F93" s="253">
        <f>F91*D93</f>
        <v>37506984</v>
      </c>
    </row>
    <row r="94" spans="2:8" ht="13.9" x14ac:dyDescent="0.4">
      <c r="B94" s="104" t="s">
        <v>257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247</v>
      </c>
      <c r="C95" s="77">
        <f>ABS(MAX(C33,0)-C32)</f>
        <v>20662</v>
      </c>
      <c r="D95" s="160">
        <f>C95/C91</f>
        <v>8.8200573996119572E-5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2932</v>
      </c>
      <c r="D97" s="160">
        <f>C97/C91</f>
        <v>1.2515926965280349E-5</v>
      </c>
      <c r="E97" s="254"/>
      <c r="F97" s="253">
        <f>F91*D97</f>
        <v>2932</v>
      </c>
    </row>
    <row r="98" spans="2:7" ht="13.9" x14ac:dyDescent="0.4">
      <c r="B98" s="86" t="s">
        <v>208</v>
      </c>
      <c r="C98" s="238">
        <f>C44</f>
        <v>0.2</v>
      </c>
      <c r="D98" s="267"/>
      <c r="E98" s="255">
        <f>F98</f>
        <v>0.2</v>
      </c>
      <c r="F98" s="255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1766.HK</v>
      </c>
      <c r="D3" s="277"/>
      <c r="E3" s="87"/>
      <c r="F3" s="3" t="s">
        <v>1</v>
      </c>
      <c r="G3" s="132">
        <v>4.55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中国中车</v>
      </c>
      <c r="D4" s="279"/>
      <c r="E4" s="87"/>
      <c r="F4" s="3" t="s">
        <v>3</v>
      </c>
      <c r="G4" s="282">
        <f>Inputs!C10</f>
        <v>28698864088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130579.83160039999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C0004</v>
      </c>
      <c r="E7" s="87"/>
      <c r="F7" s="35" t="s">
        <v>6</v>
      </c>
      <c r="G7" s="133">
        <v>1.0736569960912068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0.78463553343209413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0.16010732347610457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1.2515926965280349E-5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0.60839185214691649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259</v>
      </c>
      <c r="G24" s="269">
        <f>G3/(Fin_Analysis!H86*G7)</f>
        <v>12.550245313061588</v>
      </c>
    </row>
    <row r="25" spans="1:8" ht="15.75" customHeight="1" x14ac:dyDescent="0.4">
      <c r="B25" s="137" t="s">
        <v>244</v>
      </c>
      <c r="C25" s="172">
        <f>Fin_Analysis!I82</f>
        <v>8.8200573996119572E-5</v>
      </c>
      <c r="F25" s="140" t="s">
        <v>175</v>
      </c>
      <c r="G25" s="172">
        <f>Fin_Analysis!I88</f>
        <v>0.59229268936393198</v>
      </c>
    </row>
    <row r="26" spans="1:8" ht="15.75" customHeight="1" x14ac:dyDescent="0.4">
      <c r="B26" s="138" t="s">
        <v>174</v>
      </c>
      <c r="C26" s="172">
        <f>Fin_Analysis!I83</f>
        <v>5.5156426590839844E-2</v>
      </c>
      <c r="F26" s="141" t="s">
        <v>194</v>
      </c>
      <c r="G26" s="179">
        <f>Fin_Analysis!H88*Exchange_Rate/G3</f>
        <v>4.71937141138992E-2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258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1.587186331643484</v>
      </c>
      <c r="D29" s="129">
        <f>G29*(1+G20)</f>
        <v>3.0508587745130034</v>
      </c>
      <c r="E29" s="87"/>
      <c r="F29" s="131">
        <f>IF(Fin_Analysis!C108="Profit",Fin_Analysis!F100,IF(Fin_Analysis!C108="Dividend",Fin_Analysis!F103,Fin_Analysis!F106))</f>
        <v>1.8672780372276283</v>
      </c>
      <c r="G29" s="273">
        <f>IF(Fin_Analysis!C108="Profit",Fin_Analysis!I100,IF(Fin_Analysis!C108="Dividend",Fin_Analysis!I103,Fin_Analysis!I106))</f>
        <v>2.6529206734895685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234261514</v>
      </c>
      <c r="D6" s="201">
        <f>IF(Inputs!D25="","",Inputs!D25)</f>
        <v>222938637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183809908</v>
      </c>
      <c r="D8" s="200">
        <f>IF(Inputs!D26="","",Inputs!D26)</f>
        <v>177260463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50451606</v>
      </c>
      <c r="D9" s="152">
        <f t="shared" si="2"/>
        <v>45678174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37506984</v>
      </c>
      <c r="D10" s="200">
        <f>IF(Inputs!D27="","",Inputs!D27)</f>
        <v>599182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5.5244627164835962E-2</v>
      </c>
      <c r="D13" s="230">
        <f t="shared" si="3"/>
        <v>0.20219972906715133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12941690</v>
      </c>
      <c r="D14" s="231">
        <f t="shared" ref="D14:M14" si="4">IF(D6="","",D9-D10-MAX(D11,0)-MAX(D12,0))</f>
        <v>45078132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-0.71290536173947938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0</v>
      </c>
      <c r="D17" s="200">
        <f>IF(Inputs!D29="","",Inputs!D29)</f>
        <v>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1.5356342314085786E-4</v>
      </c>
      <c r="D18" s="153">
        <f t="shared" si="6"/>
        <v>1.4401272220929565E-4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6.5362849144738304E-5</v>
      </c>
      <c r="D20" s="153">
        <f t="shared" si="7"/>
        <v>5.2032254956326836E-5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12921028</v>
      </c>
      <c r="D22" s="162">
        <f t="shared" ref="D22:M22" si="8">IF(D6="","",D14-MAX(D16,0)-MAX(D17,0)-ABS(MAX(D21,0)-MAX(D19,0)))</f>
        <v>45057626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4.1367319943129879E-2</v>
      </c>
      <c r="D23" s="154">
        <f t="shared" si="9"/>
        <v>0.15158081144992377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-0.71323327154431082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319587946</v>
      </c>
      <c r="D28" s="200">
        <f>IF(Inputs!D34="","",Inputs!D34)</f>
        <v>3160304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121633388</v>
      </c>
      <c r="D29" s="200">
        <f>IF(Inputs!D35="","",Inputs!D35)</f>
        <v>131280367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86201047</v>
      </c>
      <c r="D30" s="200">
        <f>IF(Inputs!D36="","",Inputs!D36)</f>
        <v>66848740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255569971</v>
      </c>
      <c r="D31" s="200">
        <f>IF(Inputs!D37="","",Inputs!D37)</f>
        <v>734909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24023311</v>
      </c>
      <c r="D32" s="200">
        <f>IF(Inputs!D38="","",Inputs!D38)</f>
        <v>18682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12993125</v>
      </c>
      <c r="D33" s="200">
        <f>IF(Inputs!D39="","",Inputs!D39)</f>
        <v>6202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8009951</v>
      </c>
      <c r="D34" s="200">
        <f>IF(Inputs!D40="","",Inputs!D40)</f>
        <v>10412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199906611</v>
      </c>
      <c r="D36" s="200">
        <f>IF(Inputs!D41="","",Inputs!D41)</f>
        <v>2824568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39516717</v>
      </c>
      <c r="D37" s="200">
        <f>IF(Inputs!D42="","",Inputs!D42)</f>
        <v>7297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81640747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3.2528320965128699E-2</v>
      </c>
      <c r="D40" s="156">
        <f>IF(D6="","",D14/MAX(D39,0))</f>
        <v>63.533457924957503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0.78463553343209413</v>
      </c>
      <c r="D42" s="157">
        <f t="shared" si="34"/>
        <v>0.79510875900797762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0.16010732347610457</v>
      </c>
      <c r="D43" s="154">
        <f t="shared" si="35"/>
        <v>2.6876543611415371E-3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1.2515926965280349E-5</v>
      </c>
      <c r="D46" s="154">
        <f t="shared" ref="D46:M46" si="38">IF(D6="","",MAX(D12,0)/D6)</f>
        <v>3.8575637295207831E-6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8.8200573996119572E-5</v>
      </c>
      <c r="D47" s="154">
        <f t="shared" ref="D47:M47" si="39">IF(D6="","",ABS(MAX(D21,0)-MAX(D19,0))/D6)</f>
        <v>9.1980467252968803E-5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5.5156426590839844E-2</v>
      </c>
      <c r="D48" s="154">
        <f t="shared" si="40"/>
        <v>0.20210774859989836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0.51922053231500931</v>
      </c>
      <c r="D50" s="157">
        <f t="shared" si="41"/>
        <v>0.58886323504346172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0.36796930715644566</v>
      </c>
      <c r="D51" s="154">
        <f t="shared" si="42"/>
        <v>0.29985264510251758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0.58309352323463393</v>
      </c>
      <c r="D53" s="157">
        <f t="shared" ref="D53:M53" si="43">IF(D36="","",(D27-D36)/D27)</f>
        <v>0.21060858391144721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0.61519693591548208</v>
      </c>
      <c r="D54" s="158">
        <f t="shared" si="44"/>
        <v>2712.0275671120739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1.250490989804119</v>
      </c>
      <c r="D56" s="159">
        <f t="shared" si="46"/>
        <v>4.3002657471877468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160389894</v>
      </c>
      <c r="K3" s="24"/>
    </row>
    <row r="4" spans="1:11" ht="15" customHeight="1" x14ac:dyDescent="0.4">
      <c r="B4" s="3" t="s">
        <v>25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1.250490989804119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-141315010.82902962</v>
      </c>
      <c r="E6" s="56">
        <f>1-D6/D3</f>
        <v>1.7069051399657293</v>
      </c>
      <c r="F6" s="87"/>
      <c r="G6" s="87"/>
      <c r="H6" s="1" t="s">
        <v>30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47742240</v>
      </c>
      <c r="D11" s="199">
        <f>Inputs!D48</f>
        <v>0.9</v>
      </c>
      <c r="E11" s="88">
        <f t="shared" ref="E11:E22" si="0">C11*D11</f>
        <v>42968016</v>
      </c>
      <c r="F11" s="112"/>
      <c r="G11" s="87"/>
      <c r="H11" s="3" t="s">
        <v>39</v>
      </c>
      <c r="I11" s="40">
        <f>Inputs!C73</f>
        <v>12970041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13416</v>
      </c>
      <c r="J12" s="87"/>
      <c r="K12" s="24"/>
    </row>
    <row r="13" spans="1:11" ht="13.9" x14ac:dyDescent="0.4">
      <c r="B13" s="3" t="s">
        <v>117</v>
      </c>
      <c r="C13" s="40">
        <f>Inputs!C50</f>
        <v>121633388</v>
      </c>
      <c r="D13" s="199">
        <f>Inputs!D50</f>
        <v>0.6</v>
      </c>
      <c r="E13" s="88">
        <f t="shared" si="0"/>
        <v>72980032.799999997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7768559</v>
      </c>
      <c r="D14" s="199">
        <f>Inputs!D51</f>
        <v>0.6</v>
      </c>
      <c r="E14" s="88">
        <f t="shared" si="0"/>
        <v>4661135.3999999994</v>
      </c>
      <c r="F14" s="112"/>
      <c r="G14" s="87"/>
      <c r="H14" s="86" t="s">
        <v>43</v>
      </c>
      <c r="I14" s="206">
        <f>Inputs!C76</f>
        <v>9668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12993125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44533603</v>
      </c>
      <c r="D17" s="199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86201047</v>
      </c>
      <c r="D18" s="199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11709109</v>
      </c>
      <c r="D22" s="199">
        <f>Inputs!D59</f>
        <v>0.05</v>
      </c>
      <c r="E22" s="88">
        <f t="shared" si="0"/>
        <v>585455.45000000007</v>
      </c>
      <c r="F22" s="112"/>
      <c r="G22" s="87"/>
      <c r="H22" s="3" t="s">
        <v>45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55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56</v>
      </c>
      <c r="I25" s="63">
        <f>E28/I28</f>
        <v>0.66028306373286705</v>
      </c>
    </row>
    <row r="26" spans="2:10" ht="15" customHeight="1" x14ac:dyDescent="0.4">
      <c r="B26" s="23" t="s">
        <v>57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58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60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16</v>
      </c>
      <c r="I28" s="207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6315552</v>
      </c>
      <c r="J30" s="87"/>
    </row>
    <row r="31" spans="2:10" ht="15" customHeight="1" x14ac:dyDescent="0.4">
      <c r="B31" s="3" t="s">
        <v>63</v>
      </c>
      <c r="C31" s="40">
        <f>Inputs!C61</f>
        <v>2881955</v>
      </c>
      <c r="D31" s="199">
        <f>Inputs!D61</f>
        <v>0.6</v>
      </c>
      <c r="E31" s="88">
        <f t="shared" ref="E31:E42" si="1">C31*D31</f>
        <v>1729173</v>
      </c>
      <c r="F31" s="112"/>
      <c r="G31" s="87"/>
      <c r="H31" s="3" t="s">
        <v>64</v>
      </c>
      <c r="I31" s="40">
        <f>Inputs!C79</f>
        <v>1694399</v>
      </c>
      <c r="J31" s="87"/>
    </row>
    <row r="32" spans="2:10" ht="15" customHeight="1" x14ac:dyDescent="0.4">
      <c r="B32" s="3" t="s">
        <v>65</v>
      </c>
      <c r="C32" s="40">
        <f>Inputs!C62</f>
        <v>821946</v>
      </c>
      <c r="D32" s="199">
        <f>Inputs!D62</f>
        <v>0.5</v>
      </c>
      <c r="E32" s="88">
        <f t="shared" si="1"/>
        <v>410973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7301425</v>
      </c>
      <c r="D34" s="199">
        <f>Inputs!D64</f>
        <v>0.4</v>
      </c>
      <c r="E34" s="88">
        <f t="shared" si="1"/>
        <v>2920570</v>
      </c>
      <c r="F34" s="112"/>
      <c r="G34" s="87"/>
      <c r="H34" s="1" t="s">
        <v>78</v>
      </c>
      <c r="I34" s="84">
        <f>SUM(I30:I33)</f>
        <v>8009951</v>
      </c>
      <c r="J34" s="87"/>
    </row>
    <row r="35" spans="2:10" ht="13.9" x14ac:dyDescent="0.4">
      <c r="B35" s="3" t="s">
        <v>70</v>
      </c>
      <c r="C35" s="40">
        <f>Inputs!C65</f>
        <v>21620835</v>
      </c>
      <c r="D35" s="199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805212</v>
      </c>
      <c r="D36" s="199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6765810</v>
      </c>
      <c r="D37" s="199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60750263</v>
      </c>
      <c r="D38" s="199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17178235</v>
      </c>
      <c r="D40" s="199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4163174</v>
      </c>
      <c r="D41" s="199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37623092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81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83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85</v>
      </c>
      <c r="I48" s="208">
        <f>Inputs!C82</f>
        <v>24023311</v>
      </c>
      <c r="J48" s="8"/>
    </row>
    <row r="49" spans="2:11" ht="15" customHeight="1" thickTop="1" x14ac:dyDescent="0.4">
      <c r="B49" s="3" t="s">
        <v>14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86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21003076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234261514</v>
      </c>
      <c r="D74" s="210"/>
      <c r="E74" s="239">
        <f>Inputs!E91</f>
        <v>234261514</v>
      </c>
      <c r="F74" s="210"/>
      <c r="H74" s="239">
        <f>Inputs!F91</f>
        <v>234261514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183809908</v>
      </c>
      <c r="D75" s="160">
        <f>C75/$C$74</f>
        <v>0.78463553343209413</v>
      </c>
      <c r="E75" s="239">
        <f>Inputs!E92</f>
        <v>183809908</v>
      </c>
      <c r="F75" s="161">
        <f>E75/E74</f>
        <v>0.78463553343209413</v>
      </c>
      <c r="H75" s="239">
        <f>Inputs!F92</f>
        <v>183809908</v>
      </c>
      <c r="I75" s="161">
        <f>H75/$H$74</f>
        <v>0.78463553343209413</v>
      </c>
      <c r="K75" s="24"/>
    </row>
    <row r="76" spans="1:11" ht="15" customHeight="1" x14ac:dyDescent="0.4">
      <c r="B76" s="35" t="s">
        <v>96</v>
      </c>
      <c r="C76" s="162">
        <f>C74-C75</f>
        <v>50451606</v>
      </c>
      <c r="D76" s="211"/>
      <c r="E76" s="163">
        <f>E74-E75</f>
        <v>50451606</v>
      </c>
      <c r="F76" s="211"/>
      <c r="H76" s="163">
        <f>H74-H75</f>
        <v>50451606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37506984</v>
      </c>
      <c r="D77" s="160">
        <f>C77/$C$74</f>
        <v>0.16010732347610457</v>
      </c>
      <c r="E77" s="239">
        <f>Inputs!E93</f>
        <v>37506984</v>
      </c>
      <c r="F77" s="161">
        <f>E77/E74</f>
        <v>0.16010732347610457</v>
      </c>
      <c r="H77" s="239">
        <f>Inputs!F93</f>
        <v>37506984</v>
      </c>
      <c r="I77" s="161">
        <f>H77/$H$74</f>
        <v>0.16010732347610457</v>
      </c>
      <c r="K77" s="24"/>
    </row>
    <row r="78" spans="1:11" ht="15" customHeight="1" x14ac:dyDescent="0.4">
      <c r="B78" s="73" t="s">
        <v>173</v>
      </c>
      <c r="C78" s="77">
        <f>MAX(Data!C12,0)</f>
        <v>2932</v>
      </c>
      <c r="D78" s="160">
        <f>C78/$C$74</f>
        <v>1.2515926965280349E-5</v>
      </c>
      <c r="E78" s="181">
        <f>E74*F78</f>
        <v>2932</v>
      </c>
      <c r="F78" s="161">
        <f>I78</f>
        <v>1.2515926965280349E-5</v>
      </c>
      <c r="H78" s="239">
        <f>Inputs!F97</f>
        <v>2932</v>
      </c>
      <c r="I78" s="161">
        <f>H78/$H$74</f>
        <v>1.2515926965280349E-5</v>
      </c>
      <c r="K78" s="24"/>
    </row>
    <row r="79" spans="1:11" ht="15" customHeight="1" x14ac:dyDescent="0.4">
      <c r="B79" s="257" t="s">
        <v>233</v>
      </c>
      <c r="C79" s="258">
        <f>C76-C77-C78</f>
        <v>12941690</v>
      </c>
      <c r="D79" s="259">
        <f>C79/C74</f>
        <v>5.5244627164835962E-2</v>
      </c>
      <c r="E79" s="260">
        <f>E76-E77-E78</f>
        <v>12941690</v>
      </c>
      <c r="F79" s="259">
        <f>E79/E74</f>
        <v>5.5244627164835962E-2</v>
      </c>
      <c r="G79" s="261"/>
      <c r="H79" s="260">
        <f>H76-H77-H78</f>
        <v>12941690</v>
      </c>
      <c r="I79" s="259">
        <f>H79/H74</f>
        <v>5.5244627164835962E-2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20662</v>
      </c>
      <c r="D82" s="160">
        <f>C82/$C$74</f>
        <v>8.8200573996119572E-5</v>
      </c>
      <c r="E82" s="239">
        <f>Inputs!E95</f>
        <v>20662</v>
      </c>
      <c r="F82" s="161">
        <f>E82/E74</f>
        <v>8.8200573996119572E-5</v>
      </c>
      <c r="H82" s="239">
        <f>Inputs!F95</f>
        <v>20662</v>
      </c>
      <c r="I82" s="161">
        <f>H82/$H$74</f>
        <v>8.8200573996119572E-5</v>
      </c>
      <c r="K82" s="24"/>
    </row>
    <row r="83" spans="1:11" ht="15" customHeight="1" thickBot="1" x14ac:dyDescent="0.45">
      <c r="B83" s="105" t="s">
        <v>126</v>
      </c>
      <c r="C83" s="164">
        <f>C79-C81-C82-C80</f>
        <v>12921028</v>
      </c>
      <c r="D83" s="165">
        <f>C83/$C$74</f>
        <v>5.5156426590839844E-2</v>
      </c>
      <c r="E83" s="166">
        <f>E79-E81-E82-E80</f>
        <v>12921028</v>
      </c>
      <c r="F83" s="165">
        <f>E83/E74</f>
        <v>5.5156426590839844E-2</v>
      </c>
      <c r="H83" s="166">
        <f>H79-H81-H82-H80</f>
        <v>12921028</v>
      </c>
      <c r="I83" s="165">
        <f>H83/$H$74</f>
        <v>5.5156426590839844E-2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9690771</v>
      </c>
      <c r="D85" s="259">
        <f>C85/$C$74</f>
        <v>4.1367319943129879E-2</v>
      </c>
      <c r="E85" s="265">
        <f>E83*(1-F84)</f>
        <v>9690771</v>
      </c>
      <c r="F85" s="259">
        <f>E85/E74</f>
        <v>4.1367319943129879E-2</v>
      </c>
      <c r="G85" s="261"/>
      <c r="H85" s="265">
        <f>H83*(1-I84)</f>
        <v>9690771</v>
      </c>
      <c r="I85" s="259">
        <f>H85/$H$74</f>
        <v>4.1367319943129879E-2</v>
      </c>
      <c r="K85" s="24"/>
    </row>
    <row r="86" spans="1:11" ht="15" customHeight="1" x14ac:dyDescent="0.4">
      <c r="B86" s="87" t="s">
        <v>161</v>
      </c>
      <c r="C86" s="168">
        <f>C85*Data!C4/Common_Shares</f>
        <v>0.33767089074623169</v>
      </c>
      <c r="D86" s="210"/>
      <c r="E86" s="169">
        <f>E85*Data!C4/Common_Shares</f>
        <v>0.33767089074623169</v>
      </c>
      <c r="F86" s="210"/>
      <c r="H86" s="169">
        <f>H85*Data!C4/Common_Shares</f>
        <v>0.33767089074623169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7.9679717412316747E-2</v>
      </c>
      <c r="D87" s="210"/>
      <c r="E87" s="263">
        <f>E86*Exchange_Rate/Dashboard!G3</f>
        <v>7.9679717412316747E-2</v>
      </c>
      <c r="F87" s="210"/>
      <c r="H87" s="263">
        <f>H86*Exchange_Rate/Dashboard!G3</f>
        <v>7.9679717412316747E-2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0.2</v>
      </c>
      <c r="D88" s="167">
        <f>C88/C86</f>
        <v>0.59229268936393198</v>
      </c>
      <c r="E88" s="171">
        <f>Inputs!E98</f>
        <v>0.2</v>
      </c>
      <c r="F88" s="167">
        <f>E88/E86</f>
        <v>0.59229268936393198</v>
      </c>
      <c r="H88" s="171">
        <f>Inputs!F98</f>
        <v>0.2</v>
      </c>
      <c r="I88" s="167">
        <f>H88/H86</f>
        <v>0.59229268936393198</v>
      </c>
      <c r="K88" s="24"/>
    </row>
    <row r="89" spans="1:11" ht="15" customHeight="1" x14ac:dyDescent="0.4">
      <c r="B89" s="87" t="s">
        <v>222</v>
      </c>
      <c r="C89" s="262">
        <f>C88*Exchange_Rate/Dashboard!G3</f>
        <v>4.71937141138992E-2</v>
      </c>
      <c r="D89" s="210"/>
      <c r="E89" s="262">
        <f>E88*Exchange_Rate/Dashboard!G3</f>
        <v>4.71937141138992E-2</v>
      </c>
      <c r="F89" s="210"/>
      <c r="H89" s="262">
        <f>H88*Exchange_Rate/Dashboard!G3</f>
        <v>4.71937141138992E-2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7.3875664432174117</v>
      </c>
      <c r="H93" s="87" t="s">
        <v>210</v>
      </c>
      <c r="I93" s="144">
        <f>FV(H87,D93,0,-(H86/C93))*Exchange_Rate</f>
        <v>7.3875664432174117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3.7557631012386814</v>
      </c>
      <c r="H94" s="87" t="s">
        <v>211</v>
      </c>
      <c r="I94" s="144">
        <f>FV(H89,D93,0,-(H88/C93))*Exchange_Rate</f>
        <v>3.7557631012386814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105408808.8443844</v>
      </c>
      <c r="D97" s="214"/>
      <c r="E97" s="123">
        <f>PV(C94,D93,0,-F93)</f>
        <v>3.6729261660380321</v>
      </c>
      <c r="F97" s="214"/>
      <c r="H97" s="123">
        <f>PV(C94,D93,0,-I93)</f>
        <v>3.6729261660380321</v>
      </c>
      <c r="I97" s="123">
        <f>PV(C93,D93,0,-I93)</f>
        <v>5.2182811364022088</v>
      </c>
      <c r="K97" s="24"/>
    </row>
    <row r="98" spans="2:11" ht="15" customHeight="1" x14ac:dyDescent="0.4">
      <c r="B98" s="28" t="s">
        <v>145</v>
      </c>
      <c r="C98" s="91">
        <f>E53*Exchange_Rate</f>
        <v>42427399.669606328</v>
      </c>
      <c r="D98" s="214"/>
      <c r="E98" s="214"/>
      <c r="F98" s="214"/>
      <c r="H98" s="123">
        <f>C98*Data!$C$4/Common_Shares</f>
        <v>1.4783651206371862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62981409.174778074</v>
      </c>
      <c r="D100" s="109">
        <f>MIN(F100*(1-C94),E100)</f>
        <v>1.8653768885907189</v>
      </c>
      <c r="E100" s="109">
        <f>MAX(E97-H98+E99,0)</f>
        <v>2.194561045400846</v>
      </c>
      <c r="F100" s="109">
        <f>(E100+H100)/2</f>
        <v>2.194561045400846</v>
      </c>
      <c r="H100" s="109">
        <f>MAX(C100*Data!$C$4/Common_Shares,0)</f>
        <v>2.194561045400846</v>
      </c>
      <c r="I100" s="109">
        <f>MAX(I97-H98+H99,0)</f>
        <v>3.7399160157650226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53588758.604903109</v>
      </c>
      <c r="D103" s="109">
        <f>MIN(F103*(1-C94),E103)</f>
        <v>1.587186331643484</v>
      </c>
      <c r="E103" s="123">
        <f>PV(C94,D93,0,-F94)</f>
        <v>1.8672780372276283</v>
      </c>
      <c r="F103" s="109">
        <f>(E103+H103)/2</f>
        <v>1.8672780372276283</v>
      </c>
      <c r="H103" s="123">
        <f>PV(C94,D93,0,-I94)</f>
        <v>1.8672780372276283</v>
      </c>
      <c r="I103" s="109">
        <f>PV(C93,D93,0,-I94)</f>
        <v>2.6529206734895685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58285083.889840581</v>
      </c>
      <c r="D106" s="109">
        <f>(D100+D103)/2</f>
        <v>1.7262816101171015</v>
      </c>
      <c r="E106" s="123">
        <f>(E100+E103)/2</f>
        <v>2.0309195413142369</v>
      </c>
      <c r="F106" s="109">
        <f>(F100+F103)/2</f>
        <v>2.0309195413142369</v>
      </c>
      <c r="H106" s="123">
        <f>(H100+H103)/2</f>
        <v>2.0309195413142369</v>
      </c>
      <c r="I106" s="123">
        <f>(I100+I103)/2</f>
        <v>3.1964183446272956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