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857E25-48DE-4E55-A377-594452F501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<sst xmlns="http://schemas.openxmlformats.org/spreadsheetml/2006/main" count="390" uniqueCount="267">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</sst>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1333333500</v>
      </c>
    </row>
    <row r="11" spans="1:5" ht="13.9" x14ac:dyDescent="0.4">
      <c r="B11" s="140" t="s">
        <v>219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246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259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6.6564666748046869E-2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2385307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0</v>
      </c>
      <c r="D51" s="60">
        <v>0.6</v>
      </c>
      <c r="E51" s="112"/>
    </row>
    <row r="52" spans="2:5" ht="13.9" x14ac:dyDescent="0.4">
      <c r="B52" s="3" t="s">
        <v>44</v>
      </c>
      <c r="C52" s="59">
        <v>253051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1500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9704</v>
      </c>
      <c r="D70" s="60">
        <v>0.05</v>
      </c>
      <c r="E70" s="112"/>
    </row>
    <row r="71" spans="2:5" ht="13.9" x14ac:dyDescent="0.4">
      <c r="B71" s="3" t="s">
        <v>75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611931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20583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30946</v>
      </c>
    </row>
    <row r="83" spans="2:8" ht="14.25" thickTop="1" x14ac:dyDescent="0.4">
      <c r="B83" s="73" t="s">
        <v>221</v>
      </c>
      <c r="C83" s="59">
        <v>3023302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106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248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257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247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208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6601.HK</v>
      </c>
      <c r="D3" s="277"/>
      <c r="E3" s="87"/>
      <c r="F3" s="3" t="s">
        <v>1</v>
      </c>
      <c r="G3" s="132">
        <v>1.9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朝云集团</v>
      </c>
      <c r="D4" s="279"/>
      <c r="E4" s="87"/>
      <c r="F4" s="3" t="s">
        <v>3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2533.33365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0.55541924442229906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1.8148224946381651E-3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0.77944595224973456</v>
      </c>
    </row>
    <row r="24" spans="1:8" ht="15.75" customHeight="1" x14ac:dyDescent="0.4">
      <c r="B24" s="137" t="s">
        <v>171</v>
      </c>
      <c r="C24" s="172">
        <f>Fin_Analysis!I81</f>
        <v>6.208277497005729E-4</v>
      </c>
      <c r="F24" s="140" t="s">
        <v>260</v>
      </c>
      <c r="G24" s="269">
        <f>G3/(Fin_Analysis!H86*G7)</f>
        <v>39.054921702281248</v>
      </c>
    </row>
    <row r="25" spans="1:8" ht="15.75" customHeight="1" x14ac:dyDescent="0.4">
      <c r="B25" s="137" t="s">
        <v>244</v>
      </c>
      <c r="C25" s="172">
        <f>Fin_Analysis!I82</f>
        <v>1.2789175437999239E-2</v>
      </c>
      <c r="F25" s="140" t="s">
        <v>175</v>
      </c>
      <c r="G25" s="172">
        <f>Fin_Analysis!I88</f>
        <v>2.5996778479834153</v>
      </c>
    </row>
    <row r="26" spans="1:8" ht="15.75" customHeight="1" x14ac:dyDescent="0.4">
      <c r="B26" s="138" t="s">
        <v>174</v>
      </c>
      <c r="C26" s="172">
        <f>Fin_Analysis!I83</f>
        <v>4.9862433731434744E-2</v>
      </c>
      <c r="F26" s="141" t="s">
        <v>194</v>
      </c>
      <c r="G26" s="179">
        <f>Fin_Analysis!H88*Exchange_Rate/G3</f>
        <v>6.6564666748046869E-2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1.3020986793853644</v>
      </c>
      <c r="D29" s="129">
        <f>G29*(1+G20)</f>
        <v>2.2145114153343521</v>
      </c>
      <c r="E29" s="87"/>
      <c r="F29" s="131">
        <f>IF(Fin_Analysis!C108="Profit",Fin_Analysis!F100,IF(Fin_Analysis!C108="Dividend",Fin_Analysis!F103,Fin_Analysis!F106))</f>
        <v>1.5318807992768995</v>
      </c>
      <c r="G29" s="273">
        <f>IF(Fin_Analysis!C108="Profit",Fin_Analysis!I100,IF(Fin_Analysis!C108="Dividend",Fin_Analysis!I103,Fin_Analysis!I106))</f>
        <v>1.925662100290741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unclear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2129662.9693832397</v>
      </c>
      <c r="E6" s="56">
        <f>1-D6/D3</f>
        <v>0.29651220649238996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1.7148421950316366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Inputs!C79</f>
        <v>20583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08">
        <f>Inputs!C82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106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96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233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126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161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2.5604967476905442E-2</v>
      </c>
      <c r="D87" s="210"/>
      <c r="E87" s="263">
        <f>E86*Exchange_Rate/Dashboard!G3</f>
        <v>2.5604967476905442E-2</v>
      </c>
      <c r="F87" s="210"/>
      <c r="H87" s="263">
        <f>H86*Exchange_Rate/Dashboard!G3</f>
        <v>2.5604967476905442E-2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222</v>
      </c>
      <c r="C89" s="262">
        <f>C88*Exchange_Rate/Dashboard!G3</f>
        <v>6.6564666748046869E-2</v>
      </c>
      <c r="D89" s="210"/>
      <c r="E89" s="262">
        <f>E88*Exchange_Rate/Dashboard!G3</f>
        <v>6.6564666748046869E-2</v>
      </c>
      <c r="F89" s="210"/>
      <c r="H89" s="262">
        <f>H88*Exchange_Rate/Dashboard!G3</f>
        <v>6.6564666748046869E-2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0.76673609983319635</v>
      </c>
      <c r="H93" s="87" t="s">
        <v>210</v>
      </c>
      <c r="I93" s="144">
        <f>FV(H87,D93,0,-(H86/C93))*Exchange_Rate</f>
        <v>0.76673609983319635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2.424380754525314</v>
      </c>
      <c r="H94" s="87" t="s">
        <v>211</v>
      </c>
      <c r="I94" s="144">
        <f>FV(H89,D93,0,-(H88/C93))*Exchange_Rate</f>
        <v>2.424380754525314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508271.19813444151</v>
      </c>
      <c r="D97" s="214"/>
      <c r="E97" s="123">
        <f>PV(C94,D93,0,-F93)</f>
        <v>0.38120335095041225</v>
      </c>
      <c r="F97" s="214"/>
      <c r="H97" s="123">
        <f>PV(C94,D93,0,-I93)</f>
        <v>0.38120335095041225</v>
      </c>
      <c r="I97" s="123">
        <f>PV(C93,D93,0,-I93)</f>
        <v>0.54159168071260633</v>
      </c>
      <c r="K97" s="24"/>
    </row>
    <row r="98" spans="2:11" ht="15" customHeight="1" x14ac:dyDescent="0.4">
      <c r="B98" s="28" t="s">
        <v>145</v>
      </c>
      <c r="C98" s="91">
        <f>E53*Exchange_Rate</f>
        <v>4283.7583923339844</v>
      </c>
      <c r="D98" s="214"/>
      <c r="E98" s="214"/>
      <c r="F98" s="214"/>
      <c r="H98" s="123">
        <f>C98*Data!$C$4/Common_Shares</f>
        <v>3.2128183926481892E-3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2133946.7277755737</v>
      </c>
      <c r="D99" s="215"/>
      <c r="E99" s="146">
        <f>IF(H99&gt;0,H99*(1-C94),H99*(1+C94))</f>
        <v>1.3603908689080697</v>
      </c>
      <c r="F99" s="215"/>
      <c r="H99" s="146">
        <f>C99*Data!$C$4/Common_Shares</f>
        <v>1.6004598457741996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2637934.1675176811</v>
      </c>
      <c r="D100" s="109">
        <f>MIN(F100*(1-C94),E100)</f>
        <v>1.5796535064140638</v>
      </c>
      <c r="E100" s="109">
        <f>MAX(E97-H98+E99,0)</f>
        <v>1.7383814014658339</v>
      </c>
      <c r="F100" s="109">
        <f>(E100+H100)/2</f>
        <v>1.8584158898988987</v>
      </c>
      <c r="H100" s="109">
        <f>MAX(C100*Data!$C$4/Common_Shares,0)</f>
        <v>1.9784503783319636</v>
      </c>
      <c r="I100" s="109">
        <f>MAX(I97-H98+H99,0)</f>
        <v>2.1388387080941578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1607127.8124308188</v>
      </c>
      <c r="D103" s="109">
        <f>MIN(F103*(1-C94),E103)</f>
        <v>1.0245438523566652</v>
      </c>
      <c r="E103" s="123">
        <f>PV(C94,D93,0,-F94)</f>
        <v>1.2053457086549004</v>
      </c>
      <c r="F103" s="109">
        <f>(E103+H103)/2</f>
        <v>1.2053457086549004</v>
      </c>
      <c r="H103" s="123">
        <f>PV(C94,D93,0,-I94)</f>
        <v>1.2053457086549004</v>
      </c>
      <c r="I103" s="109">
        <f>PV(C93,D93,0,-I94)</f>
        <v>1.7124854924873243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1962484.985391082</v>
      </c>
      <c r="D106" s="109">
        <f>(D100+D103)/2</f>
        <v>1.3020986793853644</v>
      </c>
      <c r="E106" s="123">
        <f>(E100+E103)/2</f>
        <v>1.4718635550603671</v>
      </c>
      <c r="F106" s="109">
        <f>(F100+F103)/2</f>
        <v>1.5318807992768995</v>
      </c>
      <c r="H106" s="123">
        <f>(H100+H103)/2</f>
        <v>1.591898043493432</v>
      </c>
      <c r="I106" s="123">
        <f>(I100+I103)/2</f>
        <v>1.925662100290741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