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91E5A6A-5158-4A17-B706-68D5D63753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D45" i="4" s="1"/>
  <c r="C44" i="4"/>
  <c r="C45" i="4"/>
  <c r="D27" i="4"/>
  <c r="C27" i="4"/>
  <c r="C7" i="1"/>
  <c r="C33" i="1"/>
  <c r="B91" i="3"/>
  <c r="C97" i="4"/>
  <c r="C94" i="4"/>
  <c r="C96" i="4"/>
  <c r="C95" i="4"/>
  <c r="C82" i="3"/>
  <c r="E45" i="4"/>
  <c r="F45" i="4"/>
  <c r="G45" i="4"/>
  <c r="H45" i="4"/>
  <c r="I45" i="4"/>
  <c r="J45" i="4"/>
  <c r="K45" i="4"/>
  <c r="L45" i="4"/>
  <c r="M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I94" i="3" s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H103" i="3" l="1"/>
  <c r="I103" i="3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<sst xmlns="http://schemas.openxmlformats.org/spreadsheetml/2006/main" count="390" uniqueCount="266">
  <si>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</si>
  <si>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</si>
  <si>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</si>
  <si>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</si>
  <si>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</si>
  <si>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</si>
  <si>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</si>
  <si>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</si>
  <si>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</si>
  <si>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</si>
  <si>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</si>
  <si>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</si>
  <si>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</si>
  <si>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</si>
  <si>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</si>
  <si>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</si>
  <si>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</si>
  <si>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</si>
  <si>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</si>
  <si>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</si>
  <si>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</si>
  <si>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</si>
  <si>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</si>
  <si>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</si>
  <si>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</si>
  <si>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</si>
  <si>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</si>
  <si>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</si>
  <si>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</si>
  <si>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</si>
  <si>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</si>
  <si>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</si>
  <si>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</si>
  <si>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</si>
  <si>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</si>
  <si>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</si>
  <si>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</si>
  <si>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</si>
  <si>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</si>
  <si>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</si>
  <si>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</si>
  <si>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</si>
  <si>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</si>
  <si>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</si>
  <si>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</si>
  <si>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</si>
  <si>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</si>
  <si>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</si>
  <si>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</si>
  <si>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</si>
  <si>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</si>
  <si>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</si>
  <si>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</si>
  <si>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</si>
  <si>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</si>
  <si>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</si>
  <si>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</si>
  <si>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</si>
  <si>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</si>
  <si>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</si>
  <si>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</si>
  <si>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</si>
  <si>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</si>
  <si>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</si>
  <si>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</si>
  <si>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</si>
  <si>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</si>
  <si>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</si>
  <si>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</si>
  <si>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</si>
  <si>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</si>
  <si>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</si>
  <si>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</si>
  <si>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</si>
  <si>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</si>
  <si>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</si>
  <si>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</si>
  <si>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</si>
  <si>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</si>
  <si>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</si>
  <si>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</si>
  <si>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</si>
  <si>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</si>
  <si>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</si>
  <si>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</si>
  <si>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</si>
  <si>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</si>
  <si>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</si>
  <si>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</si>
  <si>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</si>
  <si>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</si>
  <si>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</si>
  <si>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</si>
  <si>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</si>
  <si>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</si>
  <si>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</si>
  <si>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</si>
  <si>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</si>
  <si>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</si>
  <si>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</si>
  <si>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</si>
  <si>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</si>
  <si>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</si>
  <si>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</si>
  <si>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</si>
  <si>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</si>
  <si>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</si>
  <si>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</si>
  <si>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</si>
  <si>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</si>
  <si>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</si>
  <si>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</si>
  <si>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</si>
  <si>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</si>
  <si>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</si>
  <si>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</si>
  <si>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</si>
  <si>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</si>
  <si>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</si>
  <si>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</si>
  <si>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</si>
  <si>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</si>
  <si>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</si>
  <si>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</si>
  <si>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</si>
  <si>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</si>
  <si>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</si>
  <si>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</si>
  <si>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</si>
  <si>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</si>
  <si>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</si>
  <si>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</si>
  <si>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</si>
  <si>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</si>
  <si>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</si>
  <si>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</si>
  <si>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</si>
  <si>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</si>
  <si>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</si>
  <si>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</si>
  <si>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</si>
  <si>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</si>
  <si>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</si>
  <si>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</si>
  <si>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</si>
  <si>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</si>
  <si>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</si>
  <si>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</si>
  <si>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</si>
  <si>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</si>
  <si>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</si>
  <si>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</si>
  <si>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</si>
  <si>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</si>
  <si>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</si>
  <si>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</si>
  <si>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</si>
  <si>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</si>
  <si>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</si>
  <si>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</si>
  <si>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</si>
  <si>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</si>
  <si>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</si>
  <si>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</si>
  <si>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</si>
  <si>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</si>
  <si>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</si>
  <si>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</si>
  <si>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</si>
  <si>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</si>
  <si>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</si>
  <si>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</si>
  <si>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</si>
  <si>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</si>
  <si>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</si>
  <si>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</si>
  <si>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</si>
  <si>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</si>
  <si>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</si>
  <si>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</si>
  <si>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</si>
  <si>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</si>
  <si>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</si>
  <si>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</si>
  <si>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</si>
  <si>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</si>
  <si>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</si>
  <si>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</si>
  <si>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</si>
  <si>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</si>
  <si>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</si>
  <si>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</si>
  <si>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</si>
  <si>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</si>
  <si>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</si>
  <si>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</si>
  <si>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</si>
  <si>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</si>
  <si>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</si>
  <si>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</si>
  <si>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</si>
  <si>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</si>
  <si>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</si>
  <si>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</si>
  <si>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</si>
  <si>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</si>
  <si>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</si>
  <si>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</si>
  <si>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</si>
  <si>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</si>
  <si>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</si>
  <si>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</si>
  <si>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</si>
  <si>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</si>
  <si>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</si>
  <si>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</si>
  <si>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</si>
  <si>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</si>
  <si>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</si>
  <si>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</si>
  <si>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</si>
  <si>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</si>
  <si>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</si>
  <si>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</si>
  <si>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</si>
  <si>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</si>
  <si>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</si>
  <si>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</si>
  <si>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</si>
  <si>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</si>
  <si>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</si>
  <si>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</si>
  <si>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</si>
  <si>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</si>
  <si>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</si>
  <si>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</si>
  <si>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</si>
  <si>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</si>
  <si>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</si>
  <si>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</si>
  <si>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</si>
  <si>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</si>
  <si>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</si>
  <si>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</si>
  <si>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</si>
  <si>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</si>
  <si>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</si>
  <si>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</si>
  <si>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</si>
  <si>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</si>
  <si>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</si>
  <si>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</si>
  <si>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</si>
  <si>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</si>
  <si>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</si>
  <si>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</si>
  <si>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</si>
  <si>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</si>
  <si>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</si>
  <si>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</si>
  <si>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</si>
  <si>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</si>
  <si>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0669.HK</t>
    <phoneticPr fontId="20" type="noConversion"/>
  </si>
  <si>
    <t>創科實業</t>
    <phoneticPr fontId="20" type="noConversion"/>
  </si>
  <si>
    <t>USD</t>
  </si>
  <si>
    <t>C0007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</si>
</sst>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9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11" sqref="C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262</v>
      </c>
    </row>
    <row r="5" spans="1:5" ht="15" x14ac:dyDescent="0.5">
      <c r="B5" s="141" t="s">
        <v>197</v>
      </c>
      <c r="C5" s="285" t="s">
        <v>263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265</v>
      </c>
    </row>
    <row r="10" spans="1:5" ht="13.9" x14ac:dyDescent="0.4">
      <c r="B10" s="140" t="s">
        <v>219</v>
      </c>
      <c r="C10" s="194">
        <v>587107850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1.763277372262774E-2</v>
      </c>
      <c r="D45" s="153">
        <f>IF(D44="","",D44*Exchange_Rate/Dashboard!$G$3)</f>
        <v>1.6901624087591244E-2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106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249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259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0669.HK</v>
      </c>
      <c r="D3" s="276"/>
      <c r="E3" s="87"/>
      <c r="F3" s="3" t="s">
        <v>1</v>
      </c>
      <c r="G3" s="132">
        <v>109.6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創科實業</v>
      </c>
      <c r="D4" s="278"/>
      <c r="E4" s="87"/>
      <c r="F4" s="3" t="s">
        <v>3</v>
      </c>
      <c r="G4" s="281">
        <f>Inputs!C10</f>
        <v>587107850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45625</v>
      </c>
      <c r="D5" s="280"/>
      <c r="E5" s="34"/>
      <c r="F5" s="35" t="s">
        <v>100</v>
      </c>
      <c r="G5" s="273">
        <f>G3*G4/1000000</f>
        <v>64347.020360000002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USD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7.78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0.60531106380837341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9.0344684898005026E-3</v>
      </c>
      <c r="F24" s="140" t="s">
        <v>176</v>
      </c>
      <c r="G24" s="179">
        <f>(Fin_Analysis!H86*G7)/G3</f>
        <v>9.0119151167483744E-2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0.19566067250076241</v>
      </c>
    </row>
    <row r="26" spans="1:8" ht="15.75" customHeight="1" x14ac:dyDescent="0.4">
      <c r="B26" s="138" t="s">
        <v>174</v>
      </c>
      <c r="C26" s="172">
        <f>Fin_Analysis!I83</f>
        <v>7.2375155036871239E-2</v>
      </c>
      <c r="F26" s="141" t="s">
        <v>195</v>
      </c>
      <c r="G26" s="179">
        <f>Fin_Analysis!H88*Exchange_Rate/G3</f>
        <v>1.763277372262774E-2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97.360609024051541</v>
      </c>
      <c r="D29" s="129">
        <f>G29*(1+G20)</f>
        <v>192.47103195872461</v>
      </c>
      <c r="E29" s="87"/>
      <c r="F29" s="131">
        <f>IF(Fin_Analysis!C108="Profit",Fin_Analysis!F100,IF(Fin_Analysis!C108="Dividend",Fin_Analysis!F103,Fin_Analysis!F106))</f>
        <v>114.5418929694724</v>
      </c>
      <c r="G29" s="272">
        <f>IF(Fin_Analysis!C108="Profit",Fin_Analysis!I100,IF(Fin_Analysis!C108="Dividend",Fin_Analysis!I103,Fin_Analysis!I106))</f>
        <v>167.36611474671707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Normal="100" workbookViewId="0">
      <selection activeCell="D100" sqref="D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106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96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161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9.0119151167483841E-2</v>
      </c>
      <c r="D87" s="210"/>
      <c r="E87" s="263">
        <f>E86*Exchange_Rate/Dashboard!G3</f>
        <v>9.0119151167483744E-2</v>
      </c>
      <c r="F87" s="210"/>
      <c r="H87" s="263">
        <f>H86*Exchange_Rate/Dashboard!G3</f>
        <v>9.0119151167483744E-2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223</v>
      </c>
      <c r="C89" s="262">
        <f>C88*Exchange_Rate/Dashboard!G3</f>
        <v>1.763277372262774E-2</v>
      </c>
      <c r="D89" s="210"/>
      <c r="E89" s="262">
        <f>E88*Exchange_Rate/Dashboard!G3</f>
        <v>1.763277372262774E-2</v>
      </c>
      <c r="F89" s="210"/>
      <c r="H89" s="262">
        <f>H88*Exchange_Rate/Dashboard!G3</f>
        <v>1.763277372262774E-2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230.38465969400394</v>
      </c>
      <c r="H93" s="87" t="s">
        <v>211</v>
      </c>
      <c r="I93" s="144">
        <f>FV(H87,D93,0,-(H86/C93))*Exchange_Rate</f>
        <v>230.38465969400394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31.955283856054855</v>
      </c>
      <c r="H94" s="87" t="s">
        <v>212</v>
      </c>
      <c r="I94" s="144">
        <f>FV(H89,D93,0,-(H88/C93))*Exchange_Rate</f>
        <v>31.955283856054855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67248444.51623705</v>
      </c>
      <c r="D97" s="214"/>
      <c r="E97" s="123">
        <f>PV(C94,D93,0,-F93)</f>
        <v>114.5418929694724</v>
      </c>
      <c r="F97" s="214"/>
      <c r="H97" s="123">
        <f>PV(C94,D93,0,-I93)</f>
        <v>114.5418929694724</v>
      </c>
      <c r="I97" s="123">
        <f>PV(C93,D93,0,-I93)</f>
        <v>167.36611474671707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67248444.51623705</v>
      </c>
      <c r="D100" s="109">
        <f>MIN(F100*(1-C94),E100)</f>
        <v>97.360609024051541</v>
      </c>
      <c r="E100" s="109">
        <f>MAX(E97-H98+E99,0)</f>
        <v>114.5418929694724</v>
      </c>
      <c r="F100" s="109">
        <f>(E100+H100)/2</f>
        <v>114.5418929694724</v>
      </c>
      <c r="H100" s="109">
        <f>MAX(C100*Data!$C$4/Common_Shares,0)</f>
        <v>114.5418929694724</v>
      </c>
      <c r="I100" s="109">
        <f>MAX(I97-H98+H99,0)</f>
        <v>167.36611474671707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9327631.1723563913</v>
      </c>
      <c r="D103" s="109">
        <f>MIN(F103*(1-C94),E103)</f>
        <v>13.504310147620975</v>
      </c>
      <c r="E103" s="123">
        <f>PV(C94,D93,0,-F94)</f>
        <v>15.887423703083501</v>
      </c>
      <c r="F103" s="109">
        <f>(E103+H103)/2</f>
        <v>15.887423703083501</v>
      </c>
      <c r="H103" s="123">
        <f>PV(C94,D93,0,-I94)</f>
        <v>15.887423703083501</v>
      </c>
      <c r="I103" s="109">
        <f>PV(C93,D93,0,-I94)</f>
        <v>23.214356857439615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38288037.844296724</v>
      </c>
      <c r="D106" s="109">
        <f>(D100+D103)/2</f>
        <v>55.432459585836256</v>
      </c>
      <c r="E106" s="123">
        <f>(E100+E103)/2</f>
        <v>65.21465833627795</v>
      </c>
      <c r="F106" s="109">
        <f>(F100+F103)/2</f>
        <v>65.21465833627795</v>
      </c>
      <c r="H106" s="123">
        <f>(H100+H103)/2</f>
        <v>65.21465833627795</v>
      </c>
      <c r="I106" s="123">
        <f>(I100+I103)/2</f>
        <v>95.290235802078342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2024-11-29T09:10:28Z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