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D904F137-26ED-4236-AFEB-2C7DBEC5521E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" i="1" l="1"/>
  <c r="C33" i="1"/>
  <c r="B91" i="3"/>
  <c r="C97" i="4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F93" i="4"/>
  <c r="E91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I94" i="3" s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H103" i="3" l="1"/>
  <c r="I103" i="3"/>
  <c r="D12" i="2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D93" i="4" l="1"/>
  <c r="E93" i="4" s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2" i="4" l="1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<sst xmlns="http://schemas.openxmlformats.org/spreadsheetml/2006/main" count="390" uniqueCount="265">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</sst>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17" fillId="0" borderId="0" xfId="0" applyFont="1"/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245</v>
      </c>
    </row>
    <row r="5" spans="1:5" ht="13.9" x14ac:dyDescent="0.4">
      <c r="B5" s="141" t="s">
        <v>197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84"/>
    </row>
    <row r="9" spans="1:5" ht="13.9" x14ac:dyDescent="0.4">
      <c r="B9" s="140" t="s">
        <v>218</v>
      </c>
      <c r="C9" s="193" t="s">
        <v>246</v>
      </c>
    </row>
    <row r="10" spans="1:5" ht="13.9" x14ac:dyDescent="0.4">
      <c r="B10" s="140" t="s">
        <v>219</v>
      </c>
      <c r="C10" s="194">
        <v>587107850</v>
      </c>
    </row>
    <row r="11" spans="1:5" ht="13.9" x14ac:dyDescent="0.4">
      <c r="B11" s="140" t="s">
        <v>220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261</v>
      </c>
      <c r="C15" s="177" t="s">
        <v>191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249</v>
      </c>
      <c r="D17" s="24"/>
    </row>
    <row r="18" spans="2:13" ht="13.9" x14ac:dyDescent="0.4">
      <c r="B18" s="241" t="s">
        <v>240</v>
      </c>
      <c r="C18" s="243" t="s">
        <v>249</v>
      </c>
      <c r="D18" s="24"/>
    </row>
    <row r="19" spans="2:13" ht="13.9" x14ac:dyDescent="0.4">
      <c r="B19" s="241" t="s">
        <v>241</v>
      </c>
      <c r="C19" s="243" t="s">
        <v>249</v>
      </c>
      <c r="D19" s="24"/>
    </row>
    <row r="20" spans="2:13" ht="13.9" x14ac:dyDescent="0.4">
      <c r="B20" s="242" t="s">
        <v>230</v>
      </c>
      <c r="C20" s="243" t="s">
        <v>249</v>
      </c>
      <c r="D20" s="24"/>
    </row>
    <row r="21" spans="2:13" ht="13.9" x14ac:dyDescent="0.4">
      <c r="B21" s="225" t="s">
        <v>233</v>
      </c>
      <c r="C21" s="243" t="s">
        <v>249</v>
      </c>
      <c r="D21" s="24"/>
    </row>
    <row r="22" spans="2:13" ht="78.75" x14ac:dyDescent="0.4">
      <c r="B22" s="227" t="s">
        <v>232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255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0</v>
      </c>
      <c r="D91" s="210"/>
      <c r="E91" s="252">
        <f>C91</f>
        <v>0</v>
      </c>
      <c r="F91" s="252">
        <f>C91</f>
        <v>0</v>
      </c>
    </row>
    <row r="92" spans="2:8" ht="13.9" x14ac:dyDescent="0.4">
      <c r="B92" s="104" t="s">
        <v>106</v>
      </c>
      <c r="C92" s="77">
        <f>C26</f>
        <v>0</v>
      </c>
      <c r="D92" s="160" t="e">
        <f>C92/C91</f>
        <v>#DIV/0!</v>
      </c>
      <c r="E92" s="253" t="e">
        <f>E91*D92</f>
        <v>#DIV/0!</v>
      </c>
      <c r="F92" s="253" t="e">
        <f>F91*D92</f>
        <v>#DIV/0!</v>
      </c>
    </row>
    <row r="93" spans="2:8" ht="13.9" x14ac:dyDescent="0.4">
      <c r="B93" s="104" t="s">
        <v>251</v>
      </c>
      <c r="C93" s="77">
        <f>C27+C28</f>
        <v>0</v>
      </c>
      <c r="D93" s="160" t="e">
        <f>C93/C91</f>
        <v>#DIV/0!</v>
      </c>
      <c r="E93" s="253" t="e">
        <f>E91*D93</f>
        <v>#DIV/0!</v>
      </c>
      <c r="F93" s="253" t="e">
        <f>F91*D93</f>
        <v>#DIV/0!</v>
      </c>
    </row>
    <row r="94" spans="2:8" ht="13.9" x14ac:dyDescent="0.4">
      <c r="B94" s="104" t="s">
        <v>262</v>
      </c>
      <c r="C94" s="77">
        <f>C29</f>
        <v>0</v>
      </c>
      <c r="D94" s="160" t="e">
        <f>C94/C91</f>
        <v>#DIV/0!</v>
      </c>
      <c r="E94" s="254"/>
      <c r="F94" s="253" t="e">
        <f>F91*D94</f>
        <v>#DIV/0!</v>
      </c>
    </row>
    <row r="95" spans="2:8" ht="13.9" x14ac:dyDescent="0.4">
      <c r="B95" s="28" t="s">
        <v>250</v>
      </c>
      <c r="C95" s="77">
        <f>ABS(MAX(C33,0)-C32)</f>
        <v>0</v>
      </c>
      <c r="D95" s="160" t="e">
        <f>C95/C91</f>
        <v>#DIV/0!</v>
      </c>
      <c r="E95" s="253" t="e">
        <f>E91*D95</f>
        <v>#DIV/0!</v>
      </c>
      <c r="F95" s="253" t="e">
        <f>F91*D95</f>
        <v>#DIV/0!</v>
      </c>
    </row>
    <row r="96" spans="2:8" ht="13.9" x14ac:dyDescent="0.4">
      <c r="B96" s="28" t="s">
        <v>110</v>
      </c>
      <c r="C96" s="77">
        <f>MAX(C31,0)</f>
        <v>0</v>
      </c>
      <c r="D96" s="160" t="e">
        <f>C96/C91</f>
        <v>#DIV/0!</v>
      </c>
      <c r="E96" s="254"/>
      <c r="F96" s="253" t="e">
        <f>F91*D96</f>
        <v>#DIV/0!</v>
      </c>
    </row>
    <row r="97" spans="2:7" ht="13.9" x14ac:dyDescent="0.4">
      <c r="B97" s="73" t="s">
        <v>173</v>
      </c>
      <c r="C97" s="77">
        <f>MAX(C30,0)/(1-C16)</f>
        <v>0</v>
      </c>
      <c r="D97" s="160" t="e">
        <f>C97/C91</f>
        <v>#DIV/0!</v>
      </c>
      <c r="E97" s="254"/>
      <c r="F97" s="253" t="e">
        <f>F91*D97</f>
        <v>#DIV/0!</v>
      </c>
    </row>
    <row r="98" spans="2:7" ht="13.9" x14ac:dyDescent="0.4">
      <c r="B98" s="86" t="s">
        <v>209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0590.HK</v>
      </c>
      <c r="D3" s="275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Template</v>
      </c>
      <c r="D4" s="277"/>
      <c r="E4" s="87"/>
      <c r="F4" s="3" t="s">
        <v>3</v>
      </c>
      <c r="G4" s="280">
        <f>Inputs!C10</f>
        <v>587107850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8677.4538662252908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 t="e">
        <f>Fin_Analysis!I75</f>
        <v>#DIV/0!</v>
      </c>
      <c r="F20" s="87" t="s">
        <v>213</v>
      </c>
      <c r="G20" s="173">
        <v>0.15</v>
      </c>
    </row>
    <row r="21" spans="1:8" ht="15.75" customHeight="1" x14ac:dyDescent="0.4">
      <c r="B21" s="137" t="s">
        <v>248</v>
      </c>
      <c r="C21" s="172" t="e">
        <f>Fin_Analysis!I77</f>
        <v>#DIV/0!</v>
      </c>
      <c r="F21" s="87"/>
      <c r="G21" s="29"/>
    </row>
    <row r="22" spans="1:8" ht="15.75" customHeight="1" x14ac:dyDescent="0.4">
      <c r="B22" s="137" t="s">
        <v>193</v>
      </c>
      <c r="C22" s="172" t="e">
        <f>Fin_Analysis!I78</f>
        <v>#DIV/0!</v>
      </c>
      <c r="F22" s="142" t="s">
        <v>186</v>
      </c>
    </row>
    <row r="23" spans="1:8" ht="15.75" customHeight="1" x14ac:dyDescent="0.4">
      <c r="B23" s="137" t="s">
        <v>172</v>
      </c>
      <c r="C23" s="172" t="e">
        <f>Fin_Analysis!I80</f>
        <v>#DIV/0!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 t="e">
        <f>Fin_Analysis!I81</f>
        <v>#DIV/0!</v>
      </c>
      <c r="F24" s="140" t="s">
        <v>176</v>
      </c>
      <c r="G24" s="179" t="e">
        <f>(Fin_Analysis!H86*G7)/G3</f>
        <v>#DIV/0!</v>
      </c>
    </row>
    <row r="25" spans="1:8" ht="15.75" customHeight="1" x14ac:dyDescent="0.4">
      <c r="B25" s="137" t="s">
        <v>247</v>
      </c>
      <c r="C25" s="172" t="e">
        <f>Fin_Analysis!I82</f>
        <v>#DIV/0!</v>
      </c>
      <c r="F25" s="140" t="s">
        <v>175</v>
      </c>
      <c r="G25" s="172" t="e">
        <f>Fin_Analysis!I88</f>
        <v>#DIV/0!</v>
      </c>
    </row>
    <row r="26" spans="1:8" ht="15.75" customHeight="1" x14ac:dyDescent="0.4">
      <c r="B26" s="138" t="s">
        <v>174</v>
      </c>
      <c r="C26" s="172" t="e">
        <f>Fin_Analysis!I83</f>
        <v>#DIV/0!</v>
      </c>
      <c r="F26" s="141" t="s">
        <v>195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1" t="e">
        <f>IF(Fin_Analysis!C108="Profit",Fin_Analysis!I100,IF(Fin_Analysis!C108="Dividend",Fin_Analysis!I103,Fin_Analysis!I106))</f>
        <v>#DIV/0!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 t="str">
        <f>IF(Inputs!C25=""," ",Inputs!C25)</f>
        <v xml:space="preserve"> </v>
      </c>
      <c r="D6" s="201" t="str">
        <f>IF(Inputs!D25="","",Inputs!D25)</f>
        <v/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 t="str">
        <f>IF(Inputs!C26="","",Inputs!C26)</f>
        <v/>
      </c>
      <c r="D8" s="200" t="str">
        <f>IF(Inputs!D26="","",Inputs!D26)</f>
        <v/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 t="e">
        <f t="shared" ref="C9:M9" si="2">IF(C6="","",(C6-C8))</f>
        <v>#VALUE!</v>
      </c>
      <c r="D9" s="152" t="str">
        <f t="shared" si="2"/>
        <v/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 t="str">
        <f>IF(Inputs!C27="","",Inputs!C27)</f>
        <v/>
      </c>
      <c r="D10" s="200" t="str">
        <f>IF(Inputs!D27="","",Inputs!D27)</f>
        <v/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 t="e">
        <f t="shared" ref="C13:M13" si="3">IF(C14="","",C14/C6)</f>
        <v>#VALUE!</v>
      </c>
      <c r="D13" s="230" t="str">
        <f t="shared" si="3"/>
        <v/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 t="e">
        <f>IF(C6="","",C9-C10-MAX(C11,0)-MAX(C12,0))</f>
        <v>#VALUE!</v>
      </c>
      <c r="D14" s="231" t="str">
        <f t="shared" ref="D14:M14" si="4">IF(D6="","",D9-D10-MAX(D11,0)-MAX(D12,0))</f>
        <v/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 t="str">
        <f>IF(D14="","",IF(ABS(C14+D14)=ABS(C14)+ABS(D14),IF(C14&lt;0,-1,1)*(C14-D14)/D14,"Turn"))</f>
        <v/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 t="e">
        <f t="shared" ref="C20:M20" si="7">IF(C6="","",MAX(C21,0)/C6)</f>
        <v>#VALUE!</v>
      </c>
      <c r="D20" s="153" t="str">
        <f t="shared" si="7"/>
        <v/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 t="e">
        <f>IF(C6="","",C14-MAX(C16,0)-MAX(C17,0)-ABS(MAX(C21,0)-MAX(C19,0)))</f>
        <v>#VALUE!</v>
      </c>
      <c r="D22" s="162" t="str">
        <f t="shared" ref="D22:M22" si="8">IF(D6="","",D14-MAX(D16,0)-MAX(D17,0)-ABS(MAX(D21,0)-MAX(D19,0)))</f>
        <v/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 t="e">
        <f t="shared" ref="C23:M23" si="9">IF(C6="","",C24/C6)</f>
        <v>#VALUE!</v>
      </c>
      <c r="D23" s="154" t="str">
        <f t="shared" si="9"/>
        <v/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/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#VALUE!</v>
      </c>
      <c r="D40" s="156" t="str">
        <f>IF(D6="","",D14/MAX(D39,0))</f>
        <v/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 t="e">
        <f t="shared" ref="C42:M42" si="34">IF(C6="","",C8/C6)</f>
        <v>#VALUE!</v>
      </c>
      <c r="D42" s="157" t="str">
        <f t="shared" si="34"/>
        <v/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 t="e">
        <f t="shared" ref="C43:M43" si="35">IF(C6="","",(C10+MAX(C11,0))/C6)</f>
        <v>#VALUE!</v>
      </c>
      <c r="D43" s="154" t="str">
        <f t="shared" si="35"/>
        <v/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 t="e">
        <f t="shared" ref="C44:M44" si="36">IF(C6="","",MAX(C16,0)/C6)</f>
        <v>#VALUE!</v>
      </c>
      <c r="D44" s="154" t="str">
        <f t="shared" si="36"/>
        <v/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 t="e">
        <f t="shared" ref="C45:M45" si="37">IF(C6="","",MAX(C17,0)/C6)</f>
        <v>#VALUE!</v>
      </c>
      <c r="D45" s="154" t="str">
        <f t="shared" si="37"/>
        <v/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 t="e">
        <f>IF(C6="","",MAX(C12,0)/C6)</f>
        <v>#VALUE!</v>
      </c>
      <c r="D46" s="154" t="str">
        <f t="shared" ref="D46:M46" si="38">IF(D6="","",MAX(D12,0)/D6)</f>
        <v/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 t="e">
        <f>IF(C6="","",ABS(MAX(C21,0)-MAX(C19,0))/C6)</f>
        <v>#VALUE!</v>
      </c>
      <c r="D47" s="154" t="str">
        <f t="shared" ref="D47:M47" si="39">IF(D6="","",ABS(MAX(D21,0)-MAX(D19,0))/D6)</f>
        <v/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 t="e">
        <f t="shared" ref="C48:M48" si="40">IF(C6="","",C22/C6)</f>
        <v>#VALUE!</v>
      </c>
      <c r="D48" s="154" t="str">
        <f t="shared" si="40"/>
        <v/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 t="e">
        <f t="shared" ref="C50:M50" si="41">IF(C29="","",C29/C6)</f>
        <v>#VALUE!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 t="e">
        <f t="shared" ref="C51:M51" si="42">IF(C30="","",C30/C6)</f>
        <v>#VALUE!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e">
        <f t="shared" ref="C54:M54" si="44">IF(OR(C22="",C35=""),"",IF(C35&lt;=0,"-",C22/C35))</f>
        <v>#VALUE!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e">
        <f t="shared" ref="C55:M55" si="45">IF(C22="","",IF(MAX(C17,0)&lt;=0,"-",C17/C22))</f>
        <v>#VALUE!</v>
      </c>
      <c r="D55" s="154" t="str">
        <f t="shared" si="45"/>
        <v/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 t="str">
        <f>Data!C6</f>
        <v xml:space="preserve"> </v>
      </c>
      <c r="D74" s="210"/>
      <c r="E74" s="239">
        <f>Inputs!E91</f>
        <v>0</v>
      </c>
      <c r="F74" s="210"/>
      <c r="H74" s="239">
        <f>Inputs!F91</f>
        <v>0</v>
      </c>
      <c r="I74" s="210"/>
      <c r="K74" s="24"/>
    </row>
    <row r="75" spans="1:11" ht="15" customHeight="1" x14ac:dyDescent="0.4">
      <c r="B75" s="104" t="s">
        <v>106</v>
      </c>
      <c r="C75" s="77" t="str">
        <f>Data!C8</f>
        <v/>
      </c>
      <c r="D75" s="160" t="e">
        <f>C75/$C$74</f>
        <v>#VALUE!</v>
      </c>
      <c r="E75" s="239" t="e">
        <f>Inputs!E92</f>
        <v>#DIV/0!</v>
      </c>
      <c r="F75" s="161" t="e">
        <f>E75/E74</f>
        <v>#DIV/0!</v>
      </c>
      <c r="H75" s="239" t="e">
        <f>Inputs!F92</f>
        <v>#DIV/0!</v>
      </c>
      <c r="I75" s="161" t="e">
        <f>H75/$H$74</f>
        <v>#DIV/0!</v>
      </c>
      <c r="K75" s="24"/>
    </row>
    <row r="76" spans="1:11" ht="15" customHeight="1" x14ac:dyDescent="0.4">
      <c r="B76" s="35" t="s">
        <v>96</v>
      </c>
      <c r="C76" s="162" t="e">
        <f>C74-C75</f>
        <v>#VALUE!</v>
      </c>
      <c r="D76" s="211"/>
      <c r="E76" s="163" t="e">
        <f>E74-E75</f>
        <v>#DIV/0!</v>
      </c>
      <c r="F76" s="211"/>
      <c r="H76" s="163" t="e">
        <f>H74-H75</f>
        <v>#DIV/0!</v>
      </c>
      <c r="I76" s="211"/>
      <c r="K76" s="24"/>
    </row>
    <row r="77" spans="1:11" ht="15" customHeight="1" x14ac:dyDescent="0.4">
      <c r="B77" s="104" t="s">
        <v>251</v>
      </c>
      <c r="C77" s="77" t="e">
        <f>Data!C10+MAX(Data!C11,0)</f>
        <v>#VALUE!</v>
      </c>
      <c r="D77" s="160" t="e">
        <f>C77/$C$74</f>
        <v>#VALUE!</v>
      </c>
      <c r="E77" s="239" t="e">
        <f>Inputs!E93</f>
        <v>#DIV/0!</v>
      </c>
      <c r="F77" s="161" t="e">
        <f>E77/E74</f>
        <v>#DIV/0!</v>
      </c>
      <c r="H77" s="239" t="e">
        <f>Inputs!F93</f>
        <v>#DIV/0!</v>
      </c>
      <c r="I77" s="161" t="e">
        <f>H77/$H$74</f>
        <v>#DIV/0!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 t="e">
        <f>C78/$C$74</f>
        <v>#VALUE!</v>
      </c>
      <c r="E78" s="181" t="e">
        <f>E74*F78</f>
        <v>#DIV/0!</v>
      </c>
      <c r="F78" s="161" t="e">
        <f>I78</f>
        <v>#DIV/0!</v>
      </c>
      <c r="H78" s="239" t="e">
        <f>Inputs!F97</f>
        <v>#DIV/0!</v>
      </c>
      <c r="I78" s="161" t="e">
        <f>H78/$H$74</f>
        <v>#DIV/0!</v>
      </c>
      <c r="K78" s="24"/>
    </row>
    <row r="79" spans="1:11" ht="15" customHeight="1" x14ac:dyDescent="0.4">
      <c r="B79" s="257" t="s">
        <v>234</v>
      </c>
      <c r="C79" s="258" t="e">
        <f>C76-C77-C78</f>
        <v>#VALUE!</v>
      </c>
      <c r="D79" s="259" t="e">
        <f>C79/C74</f>
        <v>#VALUE!</v>
      </c>
      <c r="E79" s="260" t="e">
        <f>E76-E77-E78</f>
        <v>#DIV/0!</v>
      </c>
      <c r="F79" s="259" t="e">
        <f>E79/E74</f>
        <v>#DIV/0!</v>
      </c>
      <c r="G79" s="261"/>
      <c r="H79" s="260" t="e">
        <f>H76-H77-H78</f>
        <v>#DIV/0!</v>
      </c>
      <c r="I79" s="259" t="e">
        <f>H79/H74</f>
        <v>#DIV/0!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 t="e">
        <f>C80/$C$74</f>
        <v>#VALUE!</v>
      </c>
      <c r="E80" s="181" t="e">
        <f>E74*F80</f>
        <v>#DIV/0!</v>
      </c>
      <c r="F80" s="161" t="e">
        <f>I80</f>
        <v>#DIV/0!</v>
      </c>
      <c r="H80" s="239" t="e">
        <f>Inputs!F96</f>
        <v>#DIV/0!</v>
      </c>
      <c r="I80" s="161" t="e">
        <f>H80/$H$74</f>
        <v>#DIV/0!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0</v>
      </c>
      <c r="D81" s="160" t="e">
        <f>C81/$C$74</f>
        <v>#VALUE!</v>
      </c>
      <c r="E81" s="181" t="e">
        <f>E74*F81</f>
        <v>#DIV/0!</v>
      </c>
      <c r="F81" s="161" t="e">
        <f>I81</f>
        <v>#DIV/0!</v>
      </c>
      <c r="H81" s="239" t="e">
        <f>Inputs!F94</f>
        <v>#DIV/0!</v>
      </c>
      <c r="I81" s="161" t="e">
        <f>H81/$H$74</f>
        <v>#DIV/0!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 t="e">
        <f>C82/$C$74</f>
        <v>#VALUE!</v>
      </c>
      <c r="E82" s="239" t="e">
        <f>Inputs!E95</f>
        <v>#DIV/0!</v>
      </c>
      <c r="F82" s="161" t="e">
        <f>E82/E74</f>
        <v>#DIV/0!</v>
      </c>
      <c r="H82" s="239" t="e">
        <f>Inputs!F95</f>
        <v>#DIV/0!</v>
      </c>
      <c r="I82" s="161" t="e">
        <f>H82/$H$74</f>
        <v>#DIV/0!</v>
      </c>
      <c r="K82" s="24"/>
    </row>
    <row r="83" spans="1:11" ht="15" customHeight="1" thickBot="1" x14ac:dyDescent="0.45">
      <c r="B83" s="105" t="s">
        <v>126</v>
      </c>
      <c r="C83" s="164" t="e">
        <f>C79-C81-C82-C80</f>
        <v>#VALUE!</v>
      </c>
      <c r="D83" s="165" t="e">
        <f>C83/$C$74</f>
        <v>#VALUE!</v>
      </c>
      <c r="E83" s="166" t="e">
        <f>E79-E81-E82-E80</f>
        <v>#DIV/0!</v>
      </c>
      <c r="F83" s="165" t="e">
        <f>E83/E74</f>
        <v>#DIV/0!</v>
      </c>
      <c r="H83" s="166" t="e">
        <f>H79-H81-H82-H80</f>
        <v>#DIV/0!</v>
      </c>
      <c r="I83" s="165" t="e">
        <f>H83/$H$74</f>
        <v>#DIV/0!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 t="e">
        <f>C83*(1-I84)</f>
        <v>#VALUE!</v>
      </c>
      <c r="D85" s="259" t="e">
        <f>C85/$C$74</f>
        <v>#VALUE!</v>
      </c>
      <c r="E85" s="265" t="e">
        <f>E83*(1-F84)</f>
        <v>#DIV/0!</v>
      </c>
      <c r="F85" s="259" t="e">
        <f>E85/E74</f>
        <v>#DIV/0!</v>
      </c>
      <c r="G85" s="261"/>
      <c r="H85" s="265" t="e">
        <f>H83*(1-I84)</f>
        <v>#DIV/0!</v>
      </c>
      <c r="I85" s="259" t="e">
        <f>H85/$H$74</f>
        <v>#DIV/0!</v>
      </c>
      <c r="K85" s="24"/>
    </row>
    <row r="86" spans="1:11" ht="15" customHeight="1" x14ac:dyDescent="0.4">
      <c r="B86" s="87" t="s">
        <v>161</v>
      </c>
      <c r="C86" s="168" t="e">
        <f>C85*Data!C4/Common_Shares</f>
        <v>#VALUE!</v>
      </c>
      <c r="D86" s="210"/>
      <c r="E86" s="169" t="e">
        <f>E85*Data!C4/Common_Shares</f>
        <v>#DIV/0!</v>
      </c>
      <c r="F86" s="210"/>
      <c r="H86" s="169" t="e">
        <f>H85*Data!C4/Common_Shares</f>
        <v>#DIV/0!</v>
      </c>
      <c r="I86" s="210"/>
      <c r="K86" s="24"/>
    </row>
    <row r="87" spans="1:11" ht="15" customHeight="1" x14ac:dyDescent="0.4">
      <c r="B87" s="87" t="s">
        <v>210</v>
      </c>
      <c r="C87" s="262" t="e">
        <f>C86*Exchange_Rate/Dashboard!G3</f>
        <v>#VALUE!</v>
      </c>
      <c r="D87" s="210"/>
      <c r="E87" s="263" t="e">
        <f>E86*Exchange_Rate/Dashboard!G3</f>
        <v>#DIV/0!</v>
      </c>
      <c r="F87" s="210"/>
      <c r="H87" s="263" t="e">
        <f>H86*Exchange_Rate/Dashboard!G3</f>
        <v>#DIV/0!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</v>
      </c>
      <c r="D88" s="167" t="e">
        <f>C88/C86</f>
        <v>#VALUE!</v>
      </c>
      <c r="E88" s="171">
        <f>Inputs!E98</f>
        <v>0</v>
      </c>
      <c r="F88" s="167" t="e">
        <f>E88/E86</f>
        <v>#DIV/0!</v>
      </c>
      <c r="H88" s="171">
        <f>Inputs!F98</f>
        <v>0</v>
      </c>
      <c r="I88" s="167" t="e">
        <f>H88/H86</f>
        <v>#DIV/0!</v>
      </c>
      <c r="K88" s="24"/>
    </row>
    <row r="89" spans="1:11" ht="15" customHeight="1" x14ac:dyDescent="0.4">
      <c r="B89" s="87" t="s">
        <v>223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 t="e">
        <f>FV(E87,D93,0,-(E86/C93))*Exchange_Rate</f>
        <v>#DIV/0!</v>
      </c>
      <c r="H93" s="87" t="s">
        <v>211</v>
      </c>
      <c r="I93" s="144" t="e">
        <f>FV(H87,D93,0,-(H86/C93))*Exchange_Rate</f>
        <v>#DIV/0!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</v>
      </c>
      <c r="H94" s="87" t="s">
        <v>212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 t="e">
        <f>H97*Common_Shares/Data!C4</f>
        <v>#DIV/0!</v>
      </c>
      <c r="D97" s="214"/>
      <c r="E97" s="123" t="e">
        <f>PV(C94,D93,0,-F93)</f>
        <v>#DIV/0!</v>
      </c>
      <c r="F97" s="214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 t="e">
        <f>C97-C98+$C$99</f>
        <v>#DIV/0!</v>
      </c>
      <c r="D100" s="109" t="e">
        <f>MIN(F100*(1-C94),E100)</f>
        <v>#DIV/0!</v>
      </c>
      <c r="E100" s="109" t="e">
        <f>MAX(E97-H98+E99,0)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MAX(I97-H98+H99,0)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2024-11-29T06:19:30Z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