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63CABED-C455-4F2B-8933-CD8CD82B1B7C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externalReferences>
    <externalReference r:id="rId5"/>
  </externalReference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6" i="4" l="1"/>
  <c r="F95" i="4"/>
  <c r="F94" i="4"/>
  <c r="F93" i="4"/>
  <c r="E93" i="4"/>
  <c r="F92" i="4"/>
  <c r="F91" i="4"/>
  <c r="E91" i="4"/>
  <c r="C87" i="4"/>
  <c r="D67" i="4"/>
  <c r="D66" i="4"/>
  <c r="D65" i="4"/>
  <c r="D60" i="4"/>
  <c r="D61" i="4" s="1"/>
  <c r="D59" i="4"/>
  <c r="D58" i="4"/>
  <c r="D57" i="4"/>
  <c r="D56" i="4"/>
  <c r="D69" i="4" s="1"/>
  <c r="D53" i="4"/>
  <c r="D48" i="4"/>
  <c r="D51" i="4" s="1"/>
  <c r="M43" i="4"/>
  <c r="L43" i="4"/>
  <c r="K43" i="4"/>
  <c r="J43" i="4"/>
  <c r="J36" i="2" s="1"/>
  <c r="J37" i="2" s="1"/>
  <c r="J38" i="2" s="1"/>
  <c r="I43" i="4"/>
  <c r="H43" i="4"/>
  <c r="G43" i="4"/>
  <c r="G36" i="2" s="1"/>
  <c r="G37" i="2" s="1"/>
  <c r="G38" i="2" s="1"/>
  <c r="F43" i="4"/>
  <c r="F36" i="2" s="1"/>
  <c r="F37" i="2" s="1"/>
  <c r="F38" i="2" s="1"/>
  <c r="E43" i="4"/>
  <c r="D43" i="4"/>
  <c r="C43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H36" i="2"/>
  <c r="H37" i="2" s="1"/>
  <c r="H38" i="2" s="1"/>
  <c r="I36" i="2"/>
  <c r="I37" i="2" s="1"/>
  <c r="I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D54" i="4" l="1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 s="1"/>
</calcChain>
</file>

<file path=xl/sharedStrings.xml><?xml version="1.0" encoding="utf-8"?>
<sst xmlns="http://schemas.openxmlformats.org/spreadsheetml/2006/main" count="394" uniqueCount="276">
  <si>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</si>
  <si>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</si>
  <si>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</si>
  <si>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</si>
  <si>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</si>
  <si>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</si>
  <si>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</si>
  <si>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</si>
  <si>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</si>
  <si>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</si>
  <si>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</si>
  <si>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</si>
  <si>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</si>
  <si>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</si>
  <si>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</si>
  <si>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</si>
  <si>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</si>
  <si>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</si>
  <si>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</si>
  <si>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</si>
  <si>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</si>
  <si>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</si>
  <si>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</si>
  <si>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</si>
  <si>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</si>
  <si>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</si>
  <si>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</si>
  <si>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</si>
  <si>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</si>
  <si>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</si>
  <si>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</si>
  <si>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</si>
  <si>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</si>
  <si>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</si>
  <si>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</si>
  <si>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</si>
  <si>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</si>
  <si>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</si>
  <si>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</si>
  <si>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</si>
  <si>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</si>
  <si>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</si>
  <si>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</si>
  <si>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</si>
  <si>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</si>
  <si>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</si>
  <si>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</si>
  <si>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</si>
  <si>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</si>
  <si>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</si>
  <si>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</si>
  <si>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</si>
  <si>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</si>
  <si>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</si>
  <si>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</si>
  <si>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</si>
  <si>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</si>
  <si>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</si>
  <si>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</si>
  <si>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</si>
  <si>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</si>
  <si>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</si>
  <si>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</si>
  <si>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</si>
  <si>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</si>
  <si>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</si>
  <si>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</si>
  <si>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</si>
  <si>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</si>
  <si>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</si>
  <si>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</si>
  <si>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</si>
  <si>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</si>
  <si>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</si>
  <si>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</si>
  <si>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</si>
  <si>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</si>
  <si>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</si>
  <si>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</si>
  <si>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</si>
  <si>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</si>
  <si>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</si>
  <si>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</si>
  <si>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</si>
  <si>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</si>
  <si>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</si>
  <si>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</si>
  <si>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</si>
  <si>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</si>
  <si>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</si>
  <si>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</si>
  <si>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</si>
  <si>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</si>
  <si>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</si>
  <si>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</si>
  <si>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</si>
  <si>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</si>
  <si>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</si>
  <si>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</si>
  <si>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</si>
  <si>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</si>
  <si>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</si>
  <si>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</si>
  <si>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</si>
  <si>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</si>
  <si>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</si>
  <si>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</si>
  <si>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</si>
  <si>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</si>
  <si>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</si>
  <si>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</si>
  <si>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</si>
  <si>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</si>
  <si>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</si>
  <si>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</si>
  <si>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</si>
  <si>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</si>
  <si>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</si>
  <si>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</si>
  <si>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</si>
  <si>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</si>
  <si>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</si>
  <si>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</si>
  <si>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</si>
  <si>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</si>
  <si>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</si>
  <si>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</si>
  <si>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</si>
  <si>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</si>
  <si>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</si>
  <si>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</si>
  <si>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</si>
  <si>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</si>
  <si>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</si>
  <si>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</si>
  <si>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</si>
  <si>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</si>
  <si>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</si>
  <si>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</si>
  <si>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</si>
  <si>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</si>
  <si>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</si>
  <si>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</si>
  <si>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</si>
  <si>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</si>
  <si>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</si>
  <si>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</si>
  <si>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</si>
  <si>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</si>
  <si>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</si>
  <si>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</si>
  <si>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</si>
  <si>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</si>
  <si>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</si>
  <si>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</si>
  <si>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</si>
  <si>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</si>
  <si>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</si>
  <si>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</si>
  <si>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</si>
  <si>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</si>
  <si>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</si>
  <si>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</si>
  <si>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</si>
  <si>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</si>
  <si>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</si>
  <si>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</si>
  <si>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</si>
  <si>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</si>
  <si>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</si>
  <si>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</si>
  <si>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</si>
  <si>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</si>
  <si>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</si>
  <si>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</si>
  <si>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</si>
  <si>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</si>
  <si>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</si>
  <si>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</si>
  <si>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</si>
  <si>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</si>
  <si>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</si>
  <si>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</si>
  <si>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</si>
  <si>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</si>
  <si>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</si>
  <si>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</si>
  <si>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</si>
  <si>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</si>
  <si>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</si>
  <si>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</si>
  <si>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</si>
  <si>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</si>
  <si>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</si>
  <si>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</si>
  <si>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</si>
  <si>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</si>
  <si>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</si>
  <si>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</si>
  <si>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</si>
  <si>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</si>
  <si>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</si>
  <si>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</si>
  <si>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</si>
  <si>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</si>
  <si>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</si>
  <si>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</si>
  <si>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</si>
  <si>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</si>
  <si>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</si>
  <si>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</si>
  <si>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</si>
  <si>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</si>
  <si>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</si>
  <si>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</si>
  <si>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</si>
  <si>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</si>
  <si>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</si>
  <si>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</si>
  <si>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</si>
  <si>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</si>
  <si>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</si>
  <si>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</si>
  <si>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</si>
  <si>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</si>
  <si>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</si>
  <si>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</si>
  <si>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</si>
  <si>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</si>
  <si>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</si>
  <si>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</si>
  <si>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</si>
  <si>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</si>
  <si>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</si>
  <si>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</si>
  <si>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</si>
  <si>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</si>
  <si>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</si>
  <si>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</si>
  <si>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</si>
  <si>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</si>
  <si>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</si>
  <si>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</si>
  <si>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</si>
  <si>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</si>
  <si>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</si>
  <si>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</si>
  <si>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</si>
  <si>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</si>
  <si>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</si>
  <si>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</si>
  <si>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</si>
  <si>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</si>
  <si>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</si>
  <si>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</si>
  <si>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</si>
  <si>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</si>
  <si>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</si>
  <si>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</si>
  <si>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</si>
  <si>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</si>
  <si>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</si>
  <si>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</si>
  <si>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</si>
  <si>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</si>
  <si>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0005.HK</t>
  </si>
  <si>
    <t>HSBC</t>
  </si>
  <si>
    <t xml:space="preserve">Superior Cycl. </t>
  </si>
  <si>
    <t>C0014</t>
  </si>
  <si>
    <t>USD</t>
  </si>
  <si>
    <t>UK Tax Rate</t>
  </si>
  <si>
    <t>agree</t>
  </si>
  <si>
    <t>Consumer Monopoly</t>
  </si>
  <si>
    <t>Dividend</t>
  </si>
  <si>
    <t>Pessimistic Case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</si>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</sst>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erry\PycharmProjects\Invest_Proc_v3\financial_models\opportunities\0005.HK_Valuation_old.xlsx" TargetMode="External"/><Relationship Id="rId1" Type="http://schemas.openxmlformats.org/officeDocument/2006/relationships/externalLinkPath" Target="0005.HK_Valuation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Dashboard"/>
      <sheetName val="Data"/>
      <sheetName val="Fin_Analysis"/>
    </sheetNames>
    <sheetDataSet>
      <sheetData sheetId="0" refreshError="1"/>
      <sheetData sheetId="1">
        <row r="3">
          <cell r="G3">
            <v>74.75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265</v>
      </c>
    </row>
    <row r="5" spans="1:5" ht="13.9" x14ac:dyDescent="0.4">
      <c r="B5" s="140" t="s">
        <v>181</v>
      </c>
      <c r="C5" s="190" t="s">
        <v>266</v>
      </c>
    </row>
    <row r="6" spans="1:5" ht="13.9" x14ac:dyDescent="0.4">
      <c r="B6" s="140" t="s">
        <v>155</v>
      </c>
      <c r="C6" s="188">
        <v>45593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267</v>
      </c>
      <c r="E8" s="264"/>
    </row>
    <row r="9" spans="1:5" ht="13.9" x14ac:dyDescent="0.4">
      <c r="B9" s="139" t="s">
        <v>202</v>
      </c>
      <c r="C9" s="191" t="s">
        <v>268</v>
      </c>
    </row>
    <row r="10" spans="1:5" ht="13.9" x14ac:dyDescent="0.4">
      <c r="B10" s="139" t="s">
        <v>203</v>
      </c>
      <c r="C10" s="192">
        <v>18208334222</v>
      </c>
    </row>
    <row r="11" spans="1:5" ht="13.9" x14ac:dyDescent="0.4">
      <c r="B11" s="139" t="s">
        <v>204</v>
      </c>
      <c r="C11" s="191" t="s">
        <v>269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176</v>
      </c>
    </row>
    <row r="16" spans="1:5" ht="13.9" x14ac:dyDescent="0.4">
      <c r="B16" s="219" t="s">
        <v>93</v>
      </c>
      <c r="C16" s="220">
        <v>0.23499999999999999</v>
      </c>
      <c r="D16" s="24" t="s">
        <v>270</v>
      </c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271</v>
      </c>
      <c r="D18" s="24"/>
    </row>
    <row r="19" spans="2:13" ht="13.9" x14ac:dyDescent="0.4">
      <c r="B19" s="237" t="s">
        <v>224</v>
      </c>
      <c r="C19" s="239" t="s">
        <v>271</v>
      </c>
      <c r="D19" s="24"/>
    </row>
    <row r="20" spans="2:13" ht="13.9" x14ac:dyDescent="0.4">
      <c r="B20" s="238" t="s">
        <v>213</v>
      </c>
      <c r="C20" s="239" t="s">
        <v>271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116484</v>
      </c>
      <c r="D25" s="148">
        <v>67950</v>
      </c>
      <c r="E25" s="148">
        <v>52976</v>
      </c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3771</v>
      </c>
      <c r="D26" s="149">
        <v>3354</v>
      </c>
      <c r="E26" s="149">
        <v>3691</v>
      </c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32070</v>
      </c>
      <c r="D27" s="149">
        <v>32701</v>
      </c>
      <c r="E27" s="149">
        <v>34620</v>
      </c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>
        <v>65072</v>
      </c>
      <c r="D29" s="149">
        <v>22449</v>
      </c>
      <c r="E29" s="149">
        <v>9699</v>
      </c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2127</v>
      </c>
      <c r="D30" s="149">
        <v>1822</v>
      </c>
      <c r="E30" s="149">
        <v>2079</v>
      </c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260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>
        <v>2784589</v>
      </c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258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259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>
        <v>190414</v>
      </c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>
        <v>7121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>
        <f>IF(C42="","",C42*Exchange_Rate/[1]Dashboard!$G$3)</f>
        <v>0</v>
      </c>
      <c r="D43" s="149" t="str">
        <f>IF(D42="","",D42*Exchange_Rate/[1]Dashboard!$G$3)</f>
        <v/>
      </c>
      <c r="E43" s="149" t="str">
        <f>IF(E42="","",E42*Exchange_Rate/[1]Dashboard!$G$3)</f>
        <v/>
      </c>
      <c r="F43" s="149" t="str">
        <f>IF(F42="","",F42*Exchange_Rate/[1]Dashboard!$G$3)</f>
        <v/>
      </c>
      <c r="G43" s="149" t="str">
        <f>IF(G42="","",G42*Exchange_Rate/[1]Dashboard!$G$3)</f>
        <v/>
      </c>
      <c r="H43" s="149" t="str">
        <f>IF(H42="","",H42*Exchange_Rate/[1]Dashboard!$G$3)</f>
        <v/>
      </c>
      <c r="I43" s="149" t="str">
        <f>IF(I42="","",I42*Exchange_Rate/[1]Dashboard!$G$3)</f>
        <v/>
      </c>
      <c r="J43" s="149" t="str">
        <f>IF(J42="","",J42*Exchange_Rate/[1]Dashboard!$G$3)</f>
        <v/>
      </c>
      <c r="K43" s="149" t="str">
        <f>IF(K42="","",K42*Exchange_Rate/[1]Dashboard!$G$3)</f>
        <v/>
      </c>
      <c r="L43" s="149" t="str">
        <f>IF(L42="","",L42*Exchange_Rate/[1]Dashboard!$G$3)</f>
        <v/>
      </c>
      <c r="M43" s="149" t="str">
        <f>IF(M42="","",M42*Exchange_Rate/[1]Dashboard!$G$3)</f>
        <v/>
      </c>
    </row>
    <row r="44" spans="2:13" ht="13.9" x14ac:dyDescent="0.4">
      <c r="B44" s="74" t="s">
        <v>193</v>
      </c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 t="str">
        <f>IF(C44="","",C44*Exchange_Rate/Dashboard!$G$3)</f>
        <v/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f>D49</f>
        <v>0.6</v>
      </c>
      <c r="E48" s="112"/>
    </row>
    <row r="49" spans="2:5" ht="13.9" x14ac:dyDescent="0.4">
      <c r="B49" s="1" t="s">
        <v>130</v>
      </c>
      <c r="C49" s="59"/>
      <c r="D49" s="60">
        <v>0.6</v>
      </c>
      <c r="E49" s="112"/>
    </row>
    <row r="50" spans="2:5" ht="13.9" x14ac:dyDescent="0.4">
      <c r="B50" s="3" t="s">
        <v>112</v>
      </c>
      <c r="C50" s="59"/>
      <c r="D50" s="60">
        <v>0.5</v>
      </c>
      <c r="E50" s="112"/>
    </row>
    <row r="51" spans="2:5" ht="13.9" x14ac:dyDescent="0.4">
      <c r="B51" s="3" t="s">
        <v>38</v>
      </c>
      <c r="C51" s="59"/>
      <c r="D51" s="60">
        <f>D48</f>
        <v>0.6</v>
      </c>
      <c r="E51" s="112"/>
    </row>
    <row r="52" spans="2:5" ht="13.9" x14ac:dyDescent="0.4">
      <c r="B52" s="3" t="s">
        <v>40</v>
      </c>
      <c r="C52" s="59"/>
      <c r="D52" s="60">
        <v>0.1</v>
      </c>
      <c r="E52" s="112"/>
    </row>
    <row r="53" spans="2:5" ht="13.9" x14ac:dyDescent="0.4">
      <c r="B53" s="1" t="s">
        <v>150</v>
      </c>
      <c r="C53" s="59"/>
      <c r="D53" s="60">
        <f>D50</f>
        <v>0.5</v>
      </c>
      <c r="E53" s="112"/>
    </row>
    <row r="54" spans="2:5" ht="13.9" x14ac:dyDescent="0.4">
      <c r="B54" s="3" t="s">
        <v>241</v>
      </c>
      <c r="C54" s="59"/>
      <c r="D54" s="60">
        <f>D48</f>
        <v>0.6</v>
      </c>
      <c r="E54" s="112" t="s">
        <v>67</v>
      </c>
    </row>
    <row r="55" spans="2:5" ht="13.9" x14ac:dyDescent="0.4">
      <c r="B55" s="3" t="s">
        <v>43</v>
      </c>
      <c r="C55" s="59"/>
      <c r="D55" s="60">
        <v>0.6</v>
      </c>
      <c r="E55" s="112" t="s">
        <v>42</v>
      </c>
    </row>
    <row r="56" spans="2:5" ht="13.9" x14ac:dyDescent="0.4">
      <c r="B56" s="1" t="s">
        <v>44</v>
      </c>
      <c r="C56" s="59"/>
      <c r="D56" s="60">
        <f>D46</f>
        <v>0</v>
      </c>
      <c r="E56" s="218"/>
    </row>
    <row r="57" spans="2:5" ht="13.9" x14ac:dyDescent="0.4">
      <c r="B57" s="3" t="s">
        <v>115</v>
      </c>
      <c r="C57" s="59"/>
      <c r="D57" s="60">
        <f>D68</f>
        <v>0.05</v>
      </c>
      <c r="E57" s="218"/>
    </row>
    <row r="58" spans="2:5" ht="13.9" x14ac:dyDescent="0.4">
      <c r="B58" s="3" t="s">
        <v>46</v>
      </c>
      <c r="C58" s="59"/>
      <c r="D58" s="60" t="str">
        <f>D47</f>
        <v>Valued @</v>
      </c>
      <c r="E58" s="112"/>
    </row>
    <row r="59" spans="2:5" ht="13.9" x14ac:dyDescent="0.4">
      <c r="B59" s="35" t="s">
        <v>47</v>
      </c>
      <c r="C59" s="119"/>
      <c r="D59" s="194">
        <f>D49</f>
        <v>0.6</v>
      </c>
      <c r="E59" s="112"/>
    </row>
    <row r="60" spans="2:5" ht="13.9" x14ac:dyDescent="0.4">
      <c r="B60" s="3" t="s">
        <v>57</v>
      </c>
      <c r="C60" s="59"/>
      <c r="D60" s="60">
        <f>D50</f>
        <v>0.5</v>
      </c>
      <c r="E60" s="112"/>
    </row>
    <row r="61" spans="2:5" ht="13.9" x14ac:dyDescent="0.4">
      <c r="B61" s="3" t="s">
        <v>59</v>
      </c>
      <c r="C61" s="59"/>
      <c r="D61" s="60">
        <f>D60</f>
        <v>0.5</v>
      </c>
      <c r="E61" s="112"/>
    </row>
    <row r="62" spans="2:5" ht="13.9" x14ac:dyDescent="0.4">
      <c r="B62" s="3" t="s">
        <v>61</v>
      </c>
      <c r="C62" s="59"/>
      <c r="D62" s="60">
        <v>0.4</v>
      </c>
      <c r="E62" s="112"/>
    </row>
    <row r="63" spans="2:5" ht="13.9" x14ac:dyDescent="0.4">
      <c r="B63" s="1" t="s">
        <v>151</v>
      </c>
      <c r="C63" s="59"/>
      <c r="D63" s="60">
        <v>0.1</v>
      </c>
      <c r="E63" s="112" t="s">
        <v>67</v>
      </c>
    </row>
    <row r="64" spans="2:5" ht="13.9" x14ac:dyDescent="0.4">
      <c r="B64" s="3" t="s">
        <v>240</v>
      </c>
      <c r="C64" s="59"/>
      <c r="D64" s="60">
        <v>0.2</v>
      </c>
      <c r="E64" s="112" t="s">
        <v>67</v>
      </c>
    </row>
    <row r="65" spans="2:5" ht="13.9" x14ac:dyDescent="0.4">
      <c r="B65" s="3" t="s">
        <v>66</v>
      </c>
      <c r="C65" s="59"/>
      <c r="D65" s="60">
        <f>D63</f>
        <v>0.1</v>
      </c>
      <c r="E65" s="218" t="s">
        <v>42</v>
      </c>
    </row>
    <row r="66" spans="2:5" ht="13.9" x14ac:dyDescent="0.4">
      <c r="B66" s="3" t="s">
        <v>68</v>
      </c>
      <c r="C66" s="59"/>
      <c r="D66" s="60">
        <f>D63</f>
        <v>0.1</v>
      </c>
      <c r="E66" s="218"/>
    </row>
    <row r="67" spans="2:5" ht="13.9" x14ac:dyDescent="0.4">
      <c r="B67" s="1" t="s">
        <v>45</v>
      </c>
      <c r="C67" s="59"/>
      <c r="D67" s="60">
        <f>D68</f>
        <v>0.05</v>
      </c>
      <c r="E67" s="218"/>
    </row>
    <row r="68" spans="2:5" ht="13.9" x14ac:dyDescent="0.4">
      <c r="B68" s="3" t="s">
        <v>114</v>
      </c>
      <c r="C68" s="59"/>
      <c r="D68" s="60">
        <v>0.05</v>
      </c>
      <c r="E68" s="112"/>
    </row>
    <row r="69" spans="2:5" ht="13.9" x14ac:dyDescent="0.4">
      <c r="B69" s="3" t="s">
        <v>69</v>
      </c>
      <c r="C69" s="59"/>
      <c r="D69" s="60">
        <f>D56</f>
        <v>0</v>
      </c>
      <c r="E69" s="112"/>
    </row>
    <row r="70" spans="2:5" ht="13.9" x14ac:dyDescent="0.4">
      <c r="B70" s="3" t="s">
        <v>70</v>
      </c>
      <c r="C70" s="59"/>
      <c r="D70" s="60">
        <v>0</v>
      </c>
      <c r="E70" s="112"/>
    </row>
    <row r="71" spans="2:5" ht="13.9" x14ac:dyDescent="0.4">
      <c r="B71" s="3" t="s">
        <v>71</v>
      </c>
      <c r="C71" s="59"/>
      <c r="D71" s="60"/>
      <c r="E71" s="112"/>
    </row>
    <row r="72" spans="2:5" ht="14.25" thickBot="1" x14ac:dyDescent="0.45">
      <c r="B72" s="243" t="s">
        <v>72</v>
      </c>
      <c r="C72" s="244"/>
      <c r="D72" s="245"/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263</v>
      </c>
      <c r="C82" s="214"/>
    </row>
    <row r="83" spans="2:8" ht="14.25" hidden="1" thickTop="1" x14ac:dyDescent="0.4">
      <c r="B83" s="73" t="s">
        <v>264</v>
      </c>
      <c r="C83" s="214"/>
    </row>
    <row r="84" spans="2:8" ht="13.9" x14ac:dyDescent="0.4">
      <c r="B84" s="20" t="s">
        <v>87</v>
      </c>
      <c r="C84" s="59">
        <v>5</v>
      </c>
    </row>
    <row r="85" spans="2:8" ht="13.9" x14ac:dyDescent="0.4">
      <c r="B85" s="20" t="s">
        <v>89</v>
      </c>
      <c r="C85" s="59" t="s">
        <v>273</v>
      </c>
      <c r="D85">
        <v>0.02</v>
      </c>
    </row>
    <row r="86" spans="2:8" ht="13.9" x14ac:dyDescent="0.4">
      <c r="B86" s="10" t="s">
        <v>232</v>
      </c>
      <c r="C86" s="196"/>
    </row>
    <row r="87" spans="2:8" ht="13.9" x14ac:dyDescent="0.4">
      <c r="B87" s="10" t="s">
        <v>230</v>
      </c>
      <c r="C87" s="233">
        <f>C24</f>
        <v>45291</v>
      </c>
      <c r="D87" s="266"/>
      <c r="E87" t="s">
        <v>274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116484</v>
      </c>
      <c r="D91" s="206"/>
      <c r="E91" s="248" t="e">
        <f>E89*D91</f>
        <v>#VALUE!</v>
      </c>
      <c r="F91" s="248" t="e">
        <f>F89*D91</f>
        <v>#VALUE!</v>
      </c>
    </row>
    <row r="92" spans="2:8" ht="13.9" x14ac:dyDescent="0.4">
      <c r="B92" s="104" t="s">
        <v>102</v>
      </c>
      <c r="C92" s="77">
        <f>C26</f>
        <v>3771</v>
      </c>
      <c r="D92" s="158">
        <f>C92/C91</f>
        <v>3.237354486453075E-2</v>
      </c>
      <c r="E92" s="249"/>
      <c r="F92" s="249" t="e">
        <f>F89*D92</f>
        <v>#VALUE!</v>
      </c>
    </row>
    <row r="93" spans="2:8" ht="13.9" x14ac:dyDescent="0.4">
      <c r="B93" s="104" t="s">
        <v>229</v>
      </c>
      <c r="C93" s="77">
        <f>C27+C28</f>
        <v>32070</v>
      </c>
      <c r="D93" s="158">
        <f>C93/C91</f>
        <v>0.27531678170392498</v>
      </c>
      <c r="E93" s="249" t="e">
        <f>E89*D93</f>
        <v>#VALUE!</v>
      </c>
      <c r="F93" s="249" t="e">
        <f>F89*D93</f>
        <v>#VALUE!</v>
      </c>
    </row>
    <row r="94" spans="2:8" ht="13.9" x14ac:dyDescent="0.4">
      <c r="B94" s="104" t="s">
        <v>237</v>
      </c>
      <c r="C94" s="77">
        <f>C29</f>
        <v>65072</v>
      </c>
      <c r="D94" s="158">
        <f>C94/C91</f>
        <v>0.55863466227121317</v>
      </c>
      <c r="E94" s="250"/>
      <c r="F94" s="249" t="e">
        <f>F89*D94</f>
        <v>#VALUE!</v>
      </c>
    </row>
    <row r="95" spans="2:8" ht="13.9" x14ac:dyDescent="0.4">
      <c r="B95" s="28" t="s">
        <v>228</v>
      </c>
      <c r="C95" s="77">
        <f>ABS(MAX(C33,0)-C32)</f>
        <v>0</v>
      </c>
      <c r="D95" s="158">
        <f>C95/C91</f>
        <v>0</v>
      </c>
      <c r="E95" s="249"/>
      <c r="F95" s="249" t="e">
        <f>F89*D95</f>
        <v>#VALUE!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>
        <f>F96</f>
        <v>0.61</v>
      </c>
      <c r="F96" s="249">
        <v>0.61</v>
      </c>
    </row>
    <row r="97" spans="2:7" ht="13.9" x14ac:dyDescent="0.4">
      <c r="B97" s="73" t="s">
        <v>161</v>
      </c>
      <c r="C97" s="77">
        <f>MAX(C30,0)/(1-C16)</f>
        <v>2780.3921568627452</v>
      </c>
      <c r="D97" s="158">
        <f>C97/C91</f>
        <v>2.3869305285384647E-2</v>
      </c>
      <c r="E97" s="250"/>
      <c r="F97" s="249"/>
    </row>
    <row r="98" spans="2:7" ht="13.9" x14ac:dyDescent="0.4">
      <c r="B98" s="86" t="s">
        <v>193</v>
      </c>
      <c r="C98" s="234">
        <f>C44</f>
        <v>0</v>
      </c>
      <c r="D98" s="263"/>
      <c r="E98" s="251"/>
      <c r="F98" s="251"/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0005.HK : HSBC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0005.HK</v>
      </c>
      <c r="D3" s="290"/>
      <c r="E3" s="87"/>
      <c r="F3" s="3" t="s">
        <v>1</v>
      </c>
      <c r="G3" s="131">
        <v>74.849999999999994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HSBC</v>
      </c>
      <c r="D4" s="292"/>
      <c r="E4" s="87"/>
      <c r="F4" s="3" t="s">
        <v>2</v>
      </c>
      <c r="G4" s="295">
        <f>Inputs!C10</f>
        <v>18208334222</v>
      </c>
      <c r="H4" s="295"/>
      <c r="I4" s="39"/>
    </row>
    <row r="5" spans="1:10" ht="15.75" customHeight="1" x14ac:dyDescent="0.4">
      <c r="B5" s="3" t="s">
        <v>155</v>
      </c>
      <c r="C5" s="293">
        <f>Inputs!C6</f>
        <v>45593</v>
      </c>
      <c r="D5" s="294"/>
      <c r="E5" s="34"/>
      <c r="F5" s="35" t="s">
        <v>96</v>
      </c>
      <c r="G5" s="287">
        <f>G3*G4/1000000</f>
        <v>1362893.8165167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USD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C0014</v>
      </c>
      <c r="E7" s="87"/>
      <c r="F7" s="35" t="s">
        <v>5</v>
      </c>
      <c r="G7" s="132">
        <v>7.7740767796834307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HK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257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248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246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261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253</v>
      </c>
      <c r="C23" s="279">
        <f>Data!C13</f>
        <v>0.66844036814615959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254</v>
      </c>
      <c r="C24" s="170" t="e">
        <f>Fin_Analysis!I81</f>
        <v>#VALUE!</v>
      </c>
      <c r="F24" s="139" t="s">
        <v>239</v>
      </c>
      <c r="G24" s="265" t="e">
        <f>G3/(Fin_Analysis!H86*G7)</f>
        <v>#VALUE!</v>
      </c>
    </row>
    <row r="25" spans="1:8" ht="15.75" customHeight="1" x14ac:dyDescent="0.4">
      <c r="B25" s="136" t="s">
        <v>255</v>
      </c>
      <c r="C25" s="170" t="e">
        <f>Fin_Analysis!I80</f>
        <v>#VALUE!</v>
      </c>
      <c r="F25" s="139" t="s">
        <v>162</v>
      </c>
      <c r="G25" s="170" t="e">
        <f>Fin_Analysis!I88</f>
        <v>#VALUE!</v>
      </c>
    </row>
    <row r="26" spans="1:8" ht="15.75" customHeight="1" x14ac:dyDescent="0.4">
      <c r="B26" s="137" t="s">
        <v>256</v>
      </c>
      <c r="C26" s="170" t="e">
        <f>Fin_Analysis!I80+Fin_Analysis!I82</f>
        <v>#VALUE!</v>
      </c>
      <c r="F26" s="140" t="s">
        <v>179</v>
      </c>
      <c r="G26" s="177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 t="e">
        <f>IF(Fin_Analysis!C108="Profit",Fin_Analysis!D100,IF(Fin_Analysis!C108="Dividend",Fin_Analysis!D103,Fin_Analysis!D106))</f>
        <v>#VALUE!</v>
      </c>
      <c r="D29" s="128" t="e">
        <f>G29*(1+G20)</f>
        <v>#VALUE!</v>
      </c>
      <c r="E29" s="87"/>
      <c r="F29" s="130" t="e">
        <f>IF(Fin_Analysis!C108="Profit",Fin_Analysis!F100,IF(Fin_Analysis!C108="Dividend",Fin_Analysis!F103,Fin_Analysis!F106))</f>
        <v>#VALUE!</v>
      </c>
      <c r="G29" s="286" t="e">
        <f>IF(Fin_Analysis!C108="Profit",Fin_Analysis!I100,IF(Fin_Analysis!C108="Dividend",Fin_Analysis!I103,Fin_Analysis!I106))</f>
        <v>#VALUE!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77862.607843137259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USD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116484</v>
      </c>
      <c r="D6" s="199">
        <f>IF(Inputs!D25="","",Inputs!D25)</f>
        <v>67950</v>
      </c>
      <c r="E6" s="199">
        <f>IF(Inputs!E25="","",Inputs!E25)</f>
        <v>52976</v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0.71426048565121403</v>
      </c>
      <c r="D7" s="92">
        <f t="shared" si="1"/>
        <v>0.28265629719118102</v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3771</v>
      </c>
      <c r="D8" s="198">
        <f>IF(Inputs!D26="","",Inputs!D26)</f>
        <v>3354</v>
      </c>
      <c r="E8" s="198">
        <f>IF(Inputs!E26="","",Inputs!E26)</f>
        <v>3691</v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112713</v>
      </c>
      <c r="D9" s="150">
        <f t="shared" si="2"/>
        <v>64596</v>
      </c>
      <c r="E9" s="150">
        <f t="shared" si="2"/>
        <v>49285</v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32070</v>
      </c>
      <c r="D10" s="198">
        <f>IF(Inputs!D27="","",Inputs!D27)</f>
        <v>32701</v>
      </c>
      <c r="E10" s="198">
        <f>IF(Inputs!E27="","",Inputs!E27)</f>
        <v>34620</v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2780.3921568627452</v>
      </c>
      <c r="D12" s="198">
        <f>IF(Inputs!D30="","",MAX(Inputs!D30,0)/(1-Fin_Analysis!$I$84))</f>
        <v>2381.6993464052289</v>
      </c>
      <c r="E12" s="198">
        <f>IF(Inputs!E30="","",MAX(Inputs!E30,0)/(1-Fin_Analysis!$I$84))</f>
        <v>2717.6470588235293</v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0.66844036814615959</v>
      </c>
      <c r="D13" s="226">
        <f t="shared" si="3"/>
        <v>0.43433849379830419</v>
      </c>
      <c r="E13" s="226">
        <f t="shared" si="3"/>
        <v>0.22552387762716081</v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77862.607843137259</v>
      </c>
      <c r="D14" s="227">
        <f t="shared" ref="D14:M14" si="4">IF(D6="","",D9-D10-MAX(D11,0)-MAX(D12,0))</f>
        <v>29513.300653594772</v>
      </c>
      <c r="E14" s="227">
        <f t="shared" si="4"/>
        <v>11947.35294117647</v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1.6382209417045821</v>
      </c>
      <c r="D15" s="229">
        <f t="shared" ref="D15:M15" si="5">IF(E14="","",IF(ABS(D14+E14)=ABS(D14)+ABS(E14),IF(D14&lt;0,-1,1)*(D14-E14)/E14,"Turn"))</f>
        <v>1.4702794668329739</v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>
        <f>IF(Inputs!C29="","",Inputs!C29)</f>
        <v>65072</v>
      </c>
      <c r="D17" s="198">
        <f>IF(Inputs!D29="","",Inputs!D29)</f>
        <v>22449</v>
      </c>
      <c r="E17" s="198">
        <f>IF(Inputs!E29="","",Inputs!E29)</f>
        <v>9699</v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>
        <f t="shared" si="7"/>
        <v>0</v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12790.607843137259</v>
      </c>
      <c r="D22" s="160">
        <f t="shared" ref="D22:M22" si="8">IF(D6="","",D14-MAX(D16,0)-MAX(D17,0)-ABS(MAX(D21,0)-MAX(D19,0)))</f>
        <v>7064.3006535947716</v>
      </c>
      <c r="E22" s="160">
        <f t="shared" si="8"/>
        <v>2248.3529411764703</v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8.4001364994333999E-2</v>
      </c>
      <c r="D23" s="152">
        <f t="shared" si="9"/>
        <v>7.9531861662987494E-2</v>
      </c>
      <c r="E23" s="152">
        <f t="shared" si="9"/>
        <v>3.2467343702808814E-2</v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9784.8150000000023</v>
      </c>
      <c r="D24" s="77">
        <f>IF(D6="","",D22*(1-Fin_Analysis!$I$84))</f>
        <v>5404.1900000000005</v>
      </c>
      <c r="E24" s="77">
        <f>IF(E6="","",E22*(1-Fin_Analysis!$I$84))</f>
        <v>1719.9899999999998</v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0.81059788793510246</v>
      </c>
      <c r="D25" s="230">
        <f t="shared" ref="D25:M25" si="10">IF(E24="","",IF(ABS(D24+E24)=ABS(D24)+ABS(E24),IF(D24&lt;0,-1,1)*(D24-E24)/E24,"Turn"))</f>
        <v>2.1419891976116148</v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258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7121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3.237354486453075E-2</v>
      </c>
      <c r="D40" s="155">
        <f t="shared" si="34"/>
        <v>4.9359823399558501E-2</v>
      </c>
      <c r="E40" s="155">
        <f t="shared" si="34"/>
        <v>6.9673059498640888E-2</v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0.27531678170392498</v>
      </c>
      <c r="D41" s="152">
        <f t="shared" si="35"/>
        <v>0.48125091979396617</v>
      </c>
      <c r="E41" s="152">
        <f t="shared" si="35"/>
        <v>0.65350347327091518</v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>
        <f t="shared" si="36"/>
        <v>0</v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0.55863466227121317</v>
      </c>
      <c r="D43" s="152">
        <f t="shared" si="37"/>
        <v>0.33037527593818983</v>
      </c>
      <c r="E43" s="152">
        <f t="shared" si="37"/>
        <v>0.18308290546662639</v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2.3869305285384647E-2</v>
      </c>
      <c r="D44" s="152">
        <f t="shared" si="38"/>
        <v>3.5050763008171136E-2</v>
      </c>
      <c r="E44" s="152">
        <f t="shared" si="38"/>
        <v>5.1299589603283173E-2</v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>
        <f t="shared" si="39"/>
        <v>0</v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0.10980570587494642</v>
      </c>
      <c r="D46" s="152">
        <f t="shared" si="40"/>
        <v>0.10396321786011437</v>
      </c>
      <c r="E46" s="152">
        <f t="shared" si="40"/>
        <v>4.2440972160534399E-2</v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244</v>
      </c>
      <c r="C47" s="280" t="s">
        <v>262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250</v>
      </c>
      <c r="C48" s="269" t="e">
        <f t="shared" ref="C48:M48" si="41">IF(C6="","",C6/C27)</f>
        <v>#DIV/0!</v>
      </c>
      <c r="D48" s="269" t="e">
        <f t="shared" si="41"/>
        <v>#VALUE!</v>
      </c>
      <c r="E48" s="269" t="e">
        <f t="shared" si="41"/>
        <v>#VALUE!</v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251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252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242</v>
      </c>
      <c r="C51" s="152" t="e">
        <f t="shared" ref="C51:M51" si="44">IF(D6="","",C16/(C6-D6))</f>
        <v>#VALUE!</v>
      </c>
      <c r="D51" s="152" t="e">
        <f t="shared" si="44"/>
        <v>#VALUE!</v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246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5.0874830030000551</v>
      </c>
      <c r="D55" s="152">
        <f t="shared" si="47"/>
        <v>3.1778092554110788</v>
      </c>
      <c r="E55" s="152">
        <f t="shared" si="47"/>
        <v>4.3138244989796455</v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247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248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e">
        <f t="shared" si="49"/>
        <v>#VALUE!</v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249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e">
        <f t="shared" si="50"/>
        <v>#VALUE!</v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7"/>
      <c r="D6" s="69" t="e">
        <f>(E49-I49-E53)</f>
        <v>#VALUE!</v>
      </c>
      <c r="E6" s="56" t="e">
        <f>1-D6/D3</f>
        <v>#VALUE!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 t="e">
        <f>MAX((D6*Exchange_Rate*Data!C4)/Common_Shares, 0)</f>
        <v>#VALUE!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0.6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0.6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0.5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0.1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0.5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0.6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0.6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</v>
      </c>
      <c r="E19" s="88">
        <f t="shared" si="0"/>
        <v>0</v>
      </c>
      <c r="F19" s="133">
        <f>Inputs!E56</f>
        <v>0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0.05</v>
      </c>
      <c r="E20" s="88">
        <f t="shared" si="0"/>
        <v>0</v>
      </c>
      <c r="F20" s="133">
        <f>Inputs!E57</f>
        <v>0</v>
      </c>
      <c r="G20" s="30">
        <f>IF(F20="Y",0,1)</f>
        <v>1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 t="str">
        <f>Inputs!D58</f>
        <v>Valued @</v>
      </c>
      <c r="E21" s="88" t="e">
        <f t="shared" si="0"/>
        <v>#VALUE!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0.6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#VALUE!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#VALUE!</v>
      </c>
      <c r="G25" s="87"/>
      <c r="H25" s="23" t="s">
        <v>52</v>
      </c>
      <c r="I25" s="63" t="e">
        <f>E28/I28</f>
        <v>#VALUE!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#VALUE!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 t="e">
        <f>IF(E27=0,0,E27/C27)</f>
        <v>#VALUE!</v>
      </c>
      <c r="E27" s="88" t="e">
        <f>E21+E22</f>
        <v>#VALUE!</v>
      </c>
      <c r="F27" s="113" t="e">
        <f>E27/$E$28</f>
        <v>#VALUE!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#VALUE!</v>
      </c>
      <c r="E28" s="70" t="e">
        <f>SUM(E24:E27)</f>
        <v>#VALUE!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0.5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0.5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0.4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0.1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0.2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Y</v>
      </c>
      <c r="G35" s="30">
        <f>IF(F35="Y",0,1)</f>
        <v>0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0.1</v>
      </c>
      <c r="E36" s="88">
        <f t="shared" si="1"/>
        <v>0</v>
      </c>
      <c r="F36" s="133">
        <f>Inputs!E66</f>
        <v>0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0.05</v>
      </c>
      <c r="E37" s="88">
        <f t="shared" si="1"/>
        <v>0</v>
      </c>
      <c r="F37" s="133">
        <f>Inputs!E67</f>
        <v>0</v>
      </c>
      <c r="G37" s="30">
        <f>IF(F37="Y",0,1)</f>
        <v>1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0.05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#VALUE!</v>
      </c>
      <c r="J46" s="8" t="e">
        <f>IF(I46&lt;1,"Liquidity Problem!","")</f>
        <v>#VALUE!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#VALUE!</v>
      </c>
      <c r="E49" s="88" t="e">
        <f>E28+E48</f>
        <v>#VALUE!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5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 t="str">
        <f>Inputs!C85</f>
        <v>Dividend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 t="e">
        <f>D56+D57+D58</f>
        <v>#VALUE!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 t="e">
        <f>C63-E64</f>
        <v>#VALUE!</v>
      </c>
      <c r="D65" s="29" t="e">
        <f t="shared" si="2"/>
        <v>#VALUE!</v>
      </c>
      <c r="E65" s="61" t="e">
        <f>E63-E64</f>
        <v>#VALUE!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 t="e">
        <f t="shared" si="2"/>
        <v>#VALUE!</v>
      </c>
      <c r="E68" s="68" t="e">
        <f>E49-E63</f>
        <v>#VALUE!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 t="e">
        <f>I49-E64</f>
        <v>#VALUE!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 t="e">
        <f>C68-E69</f>
        <v>#VALUE!</v>
      </c>
      <c r="D70" s="29" t="e">
        <f t="shared" si="2"/>
        <v>#VALUE!</v>
      </c>
      <c r="E70" s="68" t="e">
        <f>E68-E69</f>
        <v>#VALUE!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116484</v>
      </c>
      <c r="D74" s="206"/>
      <c r="E74" s="235" t="e">
        <f>Inputs!E91</f>
        <v>#VALUE!</v>
      </c>
      <c r="F74" s="206"/>
      <c r="H74" s="235" t="e">
        <f>Inputs!F91</f>
        <v>#VALUE!</v>
      </c>
      <c r="I74" s="206"/>
      <c r="K74" s="24"/>
    </row>
    <row r="75" spans="1:11" ht="15" customHeight="1" x14ac:dyDescent="0.4">
      <c r="B75" s="104" t="s">
        <v>102</v>
      </c>
      <c r="C75" s="77">
        <f>Data!C8</f>
        <v>3771</v>
      </c>
      <c r="D75" s="158">
        <f>C75/$C$74</f>
        <v>3.237354486453075E-2</v>
      </c>
      <c r="E75" s="235">
        <f>Inputs!E92</f>
        <v>0</v>
      </c>
      <c r="F75" s="159" t="e">
        <f>E75/E74</f>
        <v>#VALUE!</v>
      </c>
      <c r="H75" s="235" t="e">
        <f>Inputs!F92</f>
        <v>#VALUE!</v>
      </c>
      <c r="I75" s="159" t="e">
        <f>H75/$H$74</f>
        <v>#VALUE!</v>
      </c>
      <c r="K75" s="24"/>
    </row>
    <row r="76" spans="1:11" ht="15" customHeight="1" x14ac:dyDescent="0.4">
      <c r="B76" s="35" t="s">
        <v>92</v>
      </c>
      <c r="C76" s="160">
        <f>C74-C75</f>
        <v>112713</v>
      </c>
      <c r="D76" s="207"/>
      <c r="E76" s="161" t="e">
        <f>E74-E75</f>
        <v>#VALUE!</v>
      </c>
      <c r="F76" s="207"/>
      <c r="H76" s="161" t="e">
        <f>H74-H75</f>
        <v>#VALUE!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32070</v>
      </c>
      <c r="D77" s="158">
        <f>C77/$C$74</f>
        <v>0.27531678170392498</v>
      </c>
      <c r="E77" s="235" t="e">
        <f>Inputs!E93</f>
        <v>#VALUE!</v>
      </c>
      <c r="F77" s="159" t="e">
        <f>E77/E74</f>
        <v>#VALUE!</v>
      </c>
      <c r="H77" s="235" t="e">
        <f>Inputs!F93</f>
        <v>#VALUE!</v>
      </c>
      <c r="I77" s="159" t="e">
        <f>H77/$H$74</f>
        <v>#VALUE!</v>
      </c>
      <c r="K77" s="24"/>
    </row>
    <row r="78" spans="1:11" ht="15" customHeight="1" x14ac:dyDescent="0.4">
      <c r="B78" s="73" t="s">
        <v>161</v>
      </c>
      <c r="C78" s="77">
        <f>MAX(Data!C12,0)</f>
        <v>2780.3921568627452</v>
      </c>
      <c r="D78" s="158">
        <f>C78/$C$74</f>
        <v>2.3869305285384647E-2</v>
      </c>
      <c r="E78" s="179" t="e">
        <f>E74*F78</f>
        <v>#VALUE!</v>
      </c>
      <c r="F78" s="159" t="e">
        <f>I78</f>
        <v>#VALUE!</v>
      </c>
      <c r="H78" s="235">
        <f>Inputs!F97</f>
        <v>0</v>
      </c>
      <c r="I78" s="159" t="e">
        <f>H78/$H$74</f>
        <v>#VALUE!</v>
      </c>
      <c r="K78" s="24"/>
    </row>
    <row r="79" spans="1:11" ht="15" customHeight="1" x14ac:dyDescent="0.4">
      <c r="B79" s="253" t="s">
        <v>217</v>
      </c>
      <c r="C79" s="254">
        <f>C76-C77-C78</f>
        <v>77862.607843137259</v>
      </c>
      <c r="D79" s="255">
        <f>C79/C74</f>
        <v>0.66844036814615959</v>
      </c>
      <c r="E79" s="256" t="e">
        <f>E76-E77-E78</f>
        <v>#VALUE!</v>
      </c>
      <c r="F79" s="255" t="e">
        <f>E79/E74</f>
        <v>#VALUE!</v>
      </c>
      <c r="G79" s="257"/>
      <c r="H79" s="256" t="e">
        <f>H76-H77-H78</f>
        <v>#VALUE!</v>
      </c>
      <c r="I79" s="255" t="e">
        <f>H79/H74</f>
        <v>#VALUE!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 t="e">
        <f>E74*F80</f>
        <v>#VALUE!</v>
      </c>
      <c r="F80" s="159" t="e">
        <f>I80</f>
        <v>#VALUE!</v>
      </c>
      <c r="H80" s="235">
        <f>Inputs!F96</f>
        <v>0.61</v>
      </c>
      <c r="I80" s="159" t="e">
        <f>H80/$H$74</f>
        <v>#VALUE!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65072</v>
      </c>
      <c r="D81" s="158">
        <f>C81/$C$74</f>
        <v>0.55863466227121317</v>
      </c>
      <c r="E81" s="179" t="e">
        <f>E74*F81</f>
        <v>#VALUE!</v>
      </c>
      <c r="F81" s="159" t="e">
        <f>I81</f>
        <v>#VALUE!</v>
      </c>
      <c r="H81" s="235" t="e">
        <f>Inputs!F94</f>
        <v>#VALUE!</v>
      </c>
      <c r="I81" s="159" t="e">
        <f>H81/$H$74</f>
        <v>#VALUE!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 t="e">
        <f>E82/E74</f>
        <v>#VALUE!</v>
      </c>
      <c r="H82" s="235" t="e">
        <f>Inputs!F95</f>
        <v>#VALUE!</v>
      </c>
      <c r="I82" s="159" t="e">
        <f>H82/$H$74</f>
        <v>#VALUE!</v>
      </c>
      <c r="K82" s="24"/>
    </row>
    <row r="83" spans="1:11" ht="15" customHeight="1" thickBot="1" x14ac:dyDescent="0.45">
      <c r="B83" s="105" t="s">
        <v>120</v>
      </c>
      <c r="C83" s="162">
        <f>C79-C81-C82-C80</f>
        <v>12790.607843137259</v>
      </c>
      <c r="D83" s="163">
        <f>C83/$C$74</f>
        <v>0.10980570587494642</v>
      </c>
      <c r="E83" s="164" t="e">
        <f>E79-E81-E82-E80</f>
        <v>#VALUE!</v>
      </c>
      <c r="F83" s="163" t="e">
        <f>E83/E74</f>
        <v>#VALUE!</v>
      </c>
      <c r="H83" s="164" t="e">
        <f>H79-H81-H82-H80</f>
        <v>#VALUE!</v>
      </c>
      <c r="I83" s="163" t="e">
        <f>H83/$H$74</f>
        <v>#VALUE!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0.23499999999999999</v>
      </c>
      <c r="E84" s="209"/>
      <c r="F84" s="178">
        <f t="shared" ref="F84" si="3">I84</f>
        <v>0.23499999999999999</v>
      </c>
      <c r="H84" s="209"/>
      <c r="I84" s="201">
        <f>Inputs!C16</f>
        <v>0.23499999999999999</v>
      </c>
      <c r="K84" s="24"/>
    </row>
    <row r="85" spans="1:11" ht="15" customHeight="1" x14ac:dyDescent="0.4">
      <c r="B85" s="260" t="s">
        <v>156</v>
      </c>
      <c r="C85" s="254">
        <f>C83*(1-I84)</f>
        <v>9784.8150000000023</v>
      </c>
      <c r="D85" s="255">
        <f>C85/$C$74</f>
        <v>8.4001364994333999E-2</v>
      </c>
      <c r="E85" s="261" t="e">
        <f>E83*(1-F84)</f>
        <v>#VALUE!</v>
      </c>
      <c r="F85" s="255" t="e">
        <f>E85/E74</f>
        <v>#VALUE!</v>
      </c>
      <c r="G85" s="257"/>
      <c r="H85" s="261" t="e">
        <f>H83*(1-I84)</f>
        <v>#VALUE!</v>
      </c>
      <c r="I85" s="255" t="e">
        <f>H85/$H$74</f>
        <v>#VALUE!</v>
      </c>
      <c r="K85" s="24"/>
    </row>
    <row r="86" spans="1:11" ht="15" customHeight="1" x14ac:dyDescent="0.4">
      <c r="B86" s="87" t="s">
        <v>152</v>
      </c>
      <c r="C86" s="166">
        <f>C85*Data!C4/Common_Shares</f>
        <v>0.53738111793761001</v>
      </c>
      <c r="D86" s="206"/>
      <c r="E86" s="167" t="e">
        <f>E85*Data!C4/Common_Shares</f>
        <v>#VALUE!</v>
      </c>
      <c r="F86" s="206"/>
      <c r="H86" s="167" t="e">
        <f>H85*Data!C4/Common_Shares</f>
        <v>#VALUE!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5.5813521319961215E-2</v>
      </c>
      <c r="D87" s="206"/>
      <c r="E87" s="259" t="e">
        <f>E86*Exchange_Rate/Dashboard!G3</f>
        <v>#VALUE!</v>
      </c>
      <c r="F87" s="206"/>
      <c r="H87" s="259" t="e">
        <f>H86*Exchange_Rate/Dashboard!G3</f>
        <v>#VALUE!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</v>
      </c>
      <c r="D88" s="165">
        <f>C88/C86</f>
        <v>0</v>
      </c>
      <c r="E88" s="169">
        <f>Inputs!E98</f>
        <v>0</v>
      </c>
      <c r="F88" s="165" t="e">
        <f>E88/E86</f>
        <v>#VALUE!</v>
      </c>
      <c r="H88" s="169">
        <f>Inputs!F98</f>
        <v>0</v>
      </c>
      <c r="I88" s="165" t="e">
        <f>H88/H86</f>
        <v>#VALUE!</v>
      </c>
      <c r="K88" s="24"/>
    </row>
    <row r="89" spans="1:11" ht="15" customHeight="1" x14ac:dyDescent="0.4">
      <c r="B89" s="87" t="s">
        <v>206</v>
      </c>
      <c r="C89" s="258">
        <f>C88*Exchange_Rate/Dashboard!G3</f>
        <v>0</v>
      </c>
      <c r="D89" s="206"/>
      <c r="E89" s="258">
        <f>E88*Exchange_Rate/Dashboard!G3</f>
        <v>0</v>
      </c>
      <c r="F89" s="206"/>
      <c r="H89" s="258">
        <f>H88*Exchange_Rate/Dashboard!G3</f>
        <v>0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HK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5">
        <f>IF(C92="CN",Dashboard!C17,IF(C92="US",Dashboard!C12,IF(C92="HK",Dashboard!D12,Dashboard!D17)))</f>
        <v>8.0625000000000002E-2</v>
      </c>
      <c r="D93" s="236">
        <f>Inputs!C86</f>
        <v>0</v>
      </c>
      <c r="E93" s="87" t="s">
        <v>195</v>
      </c>
      <c r="F93" s="143" t="e">
        <f>FV(E87,D93,0,-(E86/(C93-D94)))*Exchange_Rate</f>
        <v>#VALUE!</v>
      </c>
      <c r="H93" s="87" t="s">
        <v>195</v>
      </c>
      <c r="I93" s="143" t="e">
        <f>FV(H87,D93,0,-(H86/(C93-D94)))*Exchange_Rate</f>
        <v>#VALUE!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</v>
      </c>
      <c r="E94" s="87" t="s">
        <v>196</v>
      </c>
      <c r="F94" s="143">
        <f>FV(E89,D93,0,-(E88/(C93-D94)))*Exchange_Rate</f>
        <v>0</v>
      </c>
      <c r="H94" s="87" t="s">
        <v>196</v>
      </c>
      <c r="I94" s="143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 t="e">
        <f>H97*Common_Shares/Data!C4</f>
        <v>#VALUE!</v>
      </c>
      <c r="D97" s="210"/>
      <c r="E97" s="122" t="e">
        <f>PV(C94,D93,0,-F93)</f>
        <v>#VALUE!</v>
      </c>
      <c r="F97" s="210"/>
      <c r="H97" s="122" t="e">
        <f>PV(C94,D93,0,-I93)</f>
        <v>#VALUE!</v>
      </c>
      <c r="I97" s="122" t="e">
        <f>PV(C93,D93,0,-I93)</f>
        <v>#VALUE!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 t="e">
        <f>(E65-IF(E70&lt;0,MIN(E65,ABS(E70)),0))*Exchange_Rate</f>
        <v>#VALUE!</v>
      </c>
      <c r="D99" s="211"/>
      <c r="E99" s="144" t="e">
        <f>IF(H99&gt;0,H99*(1-C94),H99*(1+C94))</f>
        <v>#VALUE!</v>
      </c>
      <c r="F99" s="211"/>
      <c r="H99" s="144" t="e">
        <f>C99*Data!$C$4/Common_Shares</f>
        <v>#VALUE!</v>
      </c>
      <c r="I99" s="213"/>
      <c r="K99" s="24"/>
    </row>
    <row r="100" spans="2:11" ht="15" customHeight="1" thickTop="1" x14ac:dyDescent="0.4">
      <c r="B100" s="1" t="s">
        <v>111</v>
      </c>
      <c r="C100" s="91" t="e">
        <f>C97+C98+$C$99</f>
        <v>#VALUE!</v>
      </c>
      <c r="D100" s="109" t="e">
        <f>MIN(F100*(1-C94),E100)</f>
        <v>#VALUE!</v>
      </c>
      <c r="E100" s="109" t="e">
        <f>MAX(E97+H98+E99,0)</f>
        <v>#VALUE!</v>
      </c>
      <c r="F100" s="109" t="e">
        <f>(E100+H100)/2</f>
        <v>#VALUE!</v>
      </c>
      <c r="H100" s="109" t="e">
        <f>MAX(C100*Data!$C$4/Common_Shares,0)</f>
        <v>#VALUE!</v>
      </c>
      <c r="I100" s="109" t="e">
        <f>MAX(I97+H98+H99,0)</f>
        <v>#VALUE!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0</v>
      </c>
      <c r="D103" s="109">
        <f>MIN(F103*(1-C94),E103)</f>
        <v>0</v>
      </c>
      <c r="E103" s="122">
        <f>PV(C94,D93,0,-F94)</f>
        <v>0</v>
      </c>
      <c r="F103" s="109">
        <f>(E103+H103)/2</f>
        <v>0</v>
      </c>
      <c r="H103" s="122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 t="e">
        <f>E106*Common_Shares/Data!C4</f>
        <v>#VALUE!</v>
      </c>
      <c r="D106" s="109" t="e">
        <f>(D100+D103)/2</f>
        <v>#VALUE!</v>
      </c>
      <c r="E106" s="122" t="e">
        <f>(E100+E103)/2</f>
        <v>#VALUE!</v>
      </c>
      <c r="F106" s="109" t="e">
        <f>(F100+F103)/2</f>
        <v>#VALUE!</v>
      </c>
      <c r="H106" s="122" t="e">
        <f>(H100+H103)/2</f>
        <v>#VALUE!</v>
      </c>
      <c r="I106" s="122" t="e">
        <f>(I100+I103)/2</f>
        <v>#VALUE!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>
        <f>Inputs!C87</f>
        <v>45291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