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F240D53-7064-44EE-96BE-68CB1303202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<sst xmlns="http://schemas.openxmlformats.org/spreadsheetml/2006/main" count="392" uniqueCount="274">
  <si>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</si>
  <si>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</si>
  <si>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</si>
  <si>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</si>
  <si>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</si>
  <si>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</si>
  <si>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</si>
  <si>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</si>
  <si>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</si>
  <si>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</si>
  <si>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</si>
  <si>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</si>
  <si>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</si>
  <si>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</si>
  <si>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</si>
  <si>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</si>
  <si>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</si>
  <si>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</si>
  <si>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</si>
  <si>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</si>
  <si>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</si>
  <si>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</si>
  <si>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</si>
  <si>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</si>
  <si>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</si>
  <si>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</si>
  <si>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</si>
  <si>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</si>
  <si>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</si>
  <si>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</si>
  <si>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</si>
  <si>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</si>
  <si>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</si>
  <si>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</si>
  <si>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</si>
  <si>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</si>
  <si>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</si>
  <si>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</si>
  <si>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</si>
  <si>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</si>
  <si>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</si>
  <si>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</si>
  <si>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</si>
  <si>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</si>
  <si>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</si>
  <si>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</si>
  <si>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</si>
  <si>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</si>
  <si>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</si>
  <si>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</si>
  <si>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</si>
  <si>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</si>
  <si>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</si>
  <si>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</si>
  <si>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</si>
  <si>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</si>
  <si>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</si>
  <si>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</si>
  <si>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</si>
  <si>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</si>
  <si>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</si>
  <si>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</si>
  <si>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</si>
  <si>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</si>
  <si>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</si>
  <si>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</si>
  <si>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</si>
  <si>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</si>
  <si>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</si>
  <si>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</si>
  <si>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</si>
  <si>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</si>
  <si>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</si>
  <si>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</si>
  <si>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</si>
  <si>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</si>
  <si>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</si>
  <si>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</si>
  <si>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</si>
  <si>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</si>
  <si>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</si>
  <si>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</si>
  <si>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</si>
  <si>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</si>
  <si>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</si>
  <si>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</si>
  <si>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</si>
  <si>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</si>
  <si>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</si>
  <si>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</si>
  <si>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</si>
  <si>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</si>
  <si>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</si>
  <si>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</si>
  <si>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</si>
  <si>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</si>
  <si>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</si>
  <si>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</si>
  <si>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</si>
  <si>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</si>
  <si>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</si>
  <si>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</si>
  <si>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</si>
  <si>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</si>
  <si>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</si>
  <si>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</si>
  <si>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</si>
  <si>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</si>
  <si>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</si>
  <si>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</si>
  <si>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</si>
  <si>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</si>
  <si>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</si>
  <si>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</si>
  <si>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</si>
  <si>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</si>
  <si>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</si>
  <si>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</si>
  <si>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</si>
  <si>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</si>
  <si>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</si>
  <si>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</si>
  <si>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</si>
  <si>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</si>
  <si>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</si>
  <si>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</si>
  <si>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</si>
  <si>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</si>
  <si>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</si>
  <si>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</si>
  <si>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</si>
  <si>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</si>
  <si>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</si>
  <si>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</si>
  <si>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</si>
  <si>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</si>
  <si>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</si>
  <si>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</si>
  <si>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</si>
  <si>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</si>
  <si>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</si>
  <si>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</si>
  <si>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</si>
  <si>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</si>
  <si>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</si>
  <si>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</si>
  <si>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</si>
  <si>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</si>
  <si>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</si>
  <si>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</si>
  <si>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</si>
  <si>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</si>
  <si>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</si>
  <si>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</si>
  <si>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</si>
  <si>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</si>
  <si>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</si>
  <si>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</si>
  <si>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</si>
  <si>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</si>
  <si>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</si>
  <si>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</si>
  <si>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</si>
  <si>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</si>
  <si>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</si>
  <si>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</si>
  <si>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</si>
  <si>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</si>
  <si>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</si>
  <si>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</si>
  <si>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</si>
  <si>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</si>
  <si>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</si>
  <si>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</si>
  <si>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</si>
  <si>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</si>
  <si>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</si>
  <si>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</si>
  <si>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</si>
  <si>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</si>
  <si>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</si>
  <si>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</si>
  <si>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</si>
  <si>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</si>
  <si>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</si>
  <si>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</si>
  <si>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</si>
  <si>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</si>
  <si>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</si>
  <si>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</si>
  <si>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</si>
  <si>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</si>
  <si>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</si>
  <si>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</si>
  <si>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</si>
  <si>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</si>
  <si>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</si>
  <si>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</si>
  <si>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</si>
  <si>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</si>
  <si>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</si>
  <si>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</si>
  <si>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</si>
  <si>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</si>
  <si>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</si>
  <si>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</si>
  <si>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</si>
  <si>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</si>
  <si>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</si>
  <si>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</si>
  <si>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</si>
  <si>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</si>
  <si>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</si>
  <si>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</si>
  <si>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</si>
  <si>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</si>
  <si>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</si>
  <si>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</si>
  <si>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</si>
  <si>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</si>
  <si>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</si>
  <si>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</si>
  <si>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</si>
  <si>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</si>
  <si>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</si>
  <si>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</si>
  <si>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</si>
  <si>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</si>
  <si>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</si>
  <si>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</si>
  <si>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</si>
  <si>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</si>
  <si>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</si>
  <si>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</si>
  <si>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</si>
  <si>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</si>
  <si>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</si>
  <si>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</si>
  <si>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</si>
  <si>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</si>
  <si>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</si>
  <si>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</si>
  <si>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</si>
  <si>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</si>
  <si>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</si>
  <si>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</si>
  <si>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</si>
  <si>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</si>
  <si>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</si>
  <si>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</si>
  <si>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</si>
  <si>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</si>
  <si>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</si>
  <si>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</si>
  <si>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</si>
  <si>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</si>
  <si>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</si>
  <si>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</si>
  <si>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</si>
  <si>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</si>
  <si>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</si>
  <si>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</si>
  <si>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</si>
  <si>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</si>
  <si>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</si>
  <si>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</si>
  <si>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0011.HK</t>
  </si>
  <si>
    <t>恒生銀行</t>
  </si>
  <si>
    <t xml:space="preserve">Superior Cycl. </t>
  </si>
  <si>
    <t>C0014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</si>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</sst>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266</v>
      </c>
    </row>
    <row r="5" spans="1:5" ht="13.9" x14ac:dyDescent="0.4">
      <c r="B5" s="140" t="s">
        <v>182</v>
      </c>
      <c r="C5" s="190" t="s">
        <v>267</v>
      </c>
    </row>
    <row r="6" spans="1:5" ht="13.9" x14ac:dyDescent="0.4">
      <c r="B6" s="140" t="s">
        <v>156</v>
      </c>
      <c r="C6" s="188">
        <v>45606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268</v>
      </c>
      <c r="E8" s="264"/>
    </row>
    <row r="9" spans="1:5" ht="13.9" x14ac:dyDescent="0.4">
      <c r="B9" s="139" t="s">
        <v>203</v>
      </c>
      <c r="C9" s="191" t="s">
        <v>269</v>
      </c>
    </row>
    <row r="10" spans="1:5" ht="13.9" x14ac:dyDescent="0.4">
      <c r="B10" s="139" t="s">
        <v>204</v>
      </c>
      <c r="C10" s="192">
        <v>1882267536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45291</v>
      </c>
    </row>
    <row r="13" spans="1:5" ht="13.9" x14ac:dyDescent="0.4">
      <c r="B13" s="215" t="s">
        <v>11</v>
      </c>
      <c r="C13" s="217">
        <v>1000000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237</v>
      </c>
      <c r="C15" s="175" t="s">
        <v>177</v>
      </c>
    </row>
    <row r="16" spans="1:5" ht="13.9" x14ac:dyDescent="0.4">
      <c r="B16" s="219" t="s">
        <v>94</v>
      </c>
      <c r="C16" s="220">
        <v>0.23499999999999999</v>
      </c>
      <c r="D16" s="24"/>
    </row>
    <row r="17" spans="2:13" ht="13.9" x14ac:dyDescent="0.4">
      <c r="B17" s="237" t="s">
        <v>210</v>
      </c>
      <c r="C17" s="239" t="s">
        <v>270</v>
      </c>
      <c r="D17" s="24"/>
    </row>
    <row r="18" spans="2:13" ht="13.9" x14ac:dyDescent="0.4">
      <c r="B18" s="237" t="s">
        <v>224</v>
      </c>
      <c r="C18" s="239" t="s">
        <v>270</v>
      </c>
      <c r="D18" s="24"/>
    </row>
    <row r="19" spans="2:13" ht="13.9" x14ac:dyDescent="0.4">
      <c r="B19" s="237" t="s">
        <v>225</v>
      </c>
      <c r="C19" s="239" t="s">
        <v>270</v>
      </c>
      <c r="D19" s="24"/>
    </row>
    <row r="20" spans="2:13" ht="13.9" x14ac:dyDescent="0.4">
      <c r="B20" s="238" t="s">
        <v>214</v>
      </c>
      <c r="C20" s="239" t="s">
        <v>270</v>
      </c>
      <c r="D20" s="24"/>
    </row>
    <row r="21" spans="2:13" ht="13.9" x14ac:dyDescent="0.4">
      <c r="B21" s="221" t="s">
        <v>217</v>
      </c>
      <c r="C21" s="239" t="s">
        <v>270</v>
      </c>
      <c r="D21" s="24"/>
    </row>
    <row r="22" spans="2:13" ht="78.75" x14ac:dyDescent="0.4">
      <c r="B22" s="223" t="s">
        <v>216</v>
      </c>
      <c r="C22" s="240" t="s">
        <v>271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>
        <v>69317</v>
      </c>
      <c r="D25" s="148">
        <v>43948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2909</v>
      </c>
      <c r="D26" s="149">
        <v>2280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v>14624</v>
      </c>
      <c r="D27" s="149">
        <v>13795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238</v>
      </c>
      <c r="C29" s="149">
        <v>27144</v>
      </c>
      <c r="D29" s="149">
        <v>9231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>
        <v>-10</v>
      </c>
      <c r="D30" s="149">
        <v>-14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f>3.2+1.2*3</f>
        <v>6.8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234</v>
      </c>
      <c r="C45" s="151">
        <f>IF(C44="","",C44*Exchange_Rate/Dashboard!$G$3)</f>
        <v>7.2494669509594878E-2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18" t="s">
        <v>68</v>
      </c>
    </row>
    <row r="66" spans="2:5" ht="13.9" x14ac:dyDescent="0.4">
      <c r="B66" s="3" t="s">
        <v>69</v>
      </c>
      <c r="C66" s="59"/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3" t="s">
        <v>73</v>
      </c>
      <c r="C72" s="244"/>
      <c r="D72" s="245">
        <v>0</v>
      </c>
      <c r="E72" s="246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264</v>
      </c>
      <c r="C82" s="214"/>
    </row>
    <row r="83" spans="2:8" ht="14.25" hidden="1" thickTop="1" x14ac:dyDescent="0.4">
      <c r="B83" s="73" t="s">
        <v>265</v>
      </c>
      <c r="C83" s="214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272</v>
      </c>
      <c r="D87" s="266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69317</v>
      </c>
      <c r="D91" s="206"/>
      <c r="E91" s="248">
        <f>C91</f>
        <v>69317</v>
      </c>
      <c r="F91" s="248">
        <f>C91</f>
        <v>69317</v>
      </c>
    </row>
    <row r="92" spans="2:8" ht="13.9" x14ac:dyDescent="0.4">
      <c r="B92" s="104" t="s">
        <v>103</v>
      </c>
      <c r="C92" s="77">
        <f>C26</f>
        <v>2909</v>
      </c>
      <c r="D92" s="158">
        <f>C92/C91</f>
        <v>4.1966617135767562E-2</v>
      </c>
      <c r="E92" s="249">
        <f>E91*D92</f>
        <v>2909</v>
      </c>
      <c r="F92" s="249">
        <f>F91*D92</f>
        <v>2909</v>
      </c>
    </row>
    <row r="93" spans="2:8" ht="13.9" x14ac:dyDescent="0.4">
      <c r="B93" s="104" t="s">
        <v>230</v>
      </c>
      <c r="C93" s="77">
        <f>C27+C28</f>
        <v>14624</v>
      </c>
      <c r="D93" s="158">
        <f>C93/C91</f>
        <v>0.2109727772407923</v>
      </c>
      <c r="E93" s="249">
        <f>E91*D93</f>
        <v>14624</v>
      </c>
      <c r="F93" s="249">
        <f>F91*D93</f>
        <v>14624</v>
      </c>
    </row>
    <row r="94" spans="2:8" ht="13.9" x14ac:dyDescent="0.4">
      <c r="B94" s="104" t="s">
        <v>238</v>
      </c>
      <c r="C94" s="77">
        <f>C29</f>
        <v>27144</v>
      </c>
      <c r="D94" s="158">
        <f>C94/C91</f>
        <v>0.39159225009737869</v>
      </c>
      <c r="E94" s="250"/>
      <c r="F94" s="249">
        <f>F91*D94</f>
        <v>27144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194</v>
      </c>
      <c r="C98" s="234">
        <f>C44</f>
        <v>6.8</v>
      </c>
      <c r="D98" s="263"/>
      <c r="E98" s="251">
        <f>F98</f>
        <v>6.8</v>
      </c>
      <c r="F98" s="251">
        <f>C98</f>
        <v>6.8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0011.HK</v>
      </c>
      <c r="D3" s="290"/>
      <c r="E3" s="87"/>
      <c r="F3" s="3" t="s">
        <v>1</v>
      </c>
      <c r="G3" s="131">
        <v>93.8</v>
      </c>
      <c r="H3" s="133" t="s">
        <v>273</v>
      </c>
    </row>
    <row r="4" spans="1:10" ht="15.75" customHeight="1" x14ac:dyDescent="0.4">
      <c r="B4" s="35" t="s">
        <v>182</v>
      </c>
      <c r="C4" s="291" t="str">
        <f>Inputs!C5</f>
        <v>恒生銀行</v>
      </c>
      <c r="D4" s="292"/>
      <c r="E4" s="87"/>
      <c r="F4" s="3" t="s">
        <v>3</v>
      </c>
      <c r="G4" s="295">
        <f>Inputs!C10</f>
        <v>1882267536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45606</v>
      </c>
      <c r="D5" s="294"/>
      <c r="E5" s="34"/>
      <c r="F5" s="35" t="s">
        <v>97</v>
      </c>
      <c r="G5" s="287">
        <f>G3*G4/1000000</f>
        <v>176556.6948768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 xml:space="preserve">Superior Cycl. </v>
      </c>
      <c r="D7" s="186" t="str">
        <f>Inputs!C9</f>
        <v>C0014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235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HK</v>
      </c>
      <c r="F16" s="110" t="s">
        <v>167</v>
      </c>
    </row>
    <row r="17" spans="1:8" ht="15.75" customHeight="1" thickTop="1" x14ac:dyDescent="0.4">
      <c r="B17" s="87" t="s">
        <v>236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249</v>
      </c>
      <c r="C20" s="273" t="e">
        <f>C23*C22*(1/C21)</f>
        <v>#DIV/0!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247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262</v>
      </c>
      <c r="C22" s="277" t="e">
        <f>Data!C48</f>
        <v>#DIV/0!</v>
      </c>
      <c r="F22" s="141" t="s">
        <v>172</v>
      </c>
    </row>
    <row r="23" spans="1:8" ht="15.75" customHeight="1" thickBot="1" x14ac:dyDescent="0.45">
      <c r="B23" s="278" t="s">
        <v>254</v>
      </c>
      <c r="C23" s="279">
        <f>Data!C13</f>
        <v>0.74706060562344012</v>
      </c>
      <c r="F23" s="139" t="s">
        <v>176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255</v>
      </c>
      <c r="C24" s="170">
        <f>Fin_Analysis!I81</f>
        <v>0.39159225009737869</v>
      </c>
      <c r="F24" s="139" t="s">
        <v>240</v>
      </c>
      <c r="G24" s="265">
        <f>G3/(Fin_Analysis!H86*G7)</f>
        <v>9.3666016720142604</v>
      </c>
    </row>
    <row r="25" spans="1:8" ht="15.75" customHeight="1" x14ac:dyDescent="0.4">
      <c r="B25" s="136" t="s">
        <v>256</v>
      </c>
      <c r="C25" s="170">
        <f>Fin_Analysis!I80</f>
        <v>0</v>
      </c>
      <c r="F25" s="139" t="s">
        <v>163</v>
      </c>
      <c r="G25" s="170">
        <f>Fin_Analysis!I88</f>
        <v>0.67902869264069265</v>
      </c>
    </row>
    <row r="26" spans="1:8" ht="15.75" customHeight="1" x14ac:dyDescent="0.4">
      <c r="B26" s="137" t="s">
        <v>257</v>
      </c>
      <c r="C26" s="170">
        <f>Fin_Analysis!I80+Fin_Analysis!I82</f>
        <v>0</v>
      </c>
      <c r="F26" s="140" t="s">
        <v>180</v>
      </c>
      <c r="G26" s="177">
        <f>Fin_Analysis!H88*Exchange_Rate/G3</f>
        <v>7.2494669509594878E-2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239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67.260888005215477</v>
      </c>
      <c r="D29" s="128">
        <f>G29*(1+G20)</f>
        <v>124.2097421050094</v>
      </c>
      <c r="E29" s="87"/>
      <c r="F29" s="130">
        <f>IF(Fin_Analysis!C108="Profit",Fin_Analysis!F100,IF(Fin_Analysis!C108="Dividend",Fin_Analysis!F103,Fin_Analysis!F106))</f>
        <v>79.130456476724092</v>
      </c>
      <c r="G29" s="286">
        <f>IF(Fin_Analysis!C108="Profit",Fin_Analysis!I100,IF(Fin_Analysis!C108="Dividend",Fin_Analysis!I103,Fin_Analysis!I106))</f>
        <v>108.00847139566035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agree</v>
      </c>
    </row>
    <row r="34" spans="1:3" ht="15.75" customHeight="1" x14ac:dyDescent="0.4">
      <c r="A34"/>
      <c r="B34" s="19" t="s">
        <v>211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agree</v>
      </c>
    </row>
    <row r="37" spans="1:3" ht="15.75" customHeight="1" x14ac:dyDescent="0.4">
      <c r="A37"/>
      <c r="B37" s="20" t="s">
        <v>225</v>
      </c>
      <c r="C37" s="242" t="str">
        <f>Inputs!C19</f>
        <v>agree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agree</v>
      </c>
    </row>
    <row r="40" spans="1:3" ht="15.75" customHeight="1" x14ac:dyDescent="0.4">
      <c r="A40"/>
      <c r="B40" s="1" t="s">
        <v>217</v>
      </c>
      <c r="C40" s="242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45291</v>
      </c>
      <c r="E3" s="145" t="s">
        <v>187</v>
      </c>
      <c r="F3" s="85" t="str">
        <f>H14</f>
        <v/>
      </c>
      <c r="G3" s="85">
        <f>C14</f>
        <v>51784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1000000</v>
      </c>
      <c r="D4" s="1" t="str">
        <f>Dashboard!G6</f>
        <v>HKD</v>
      </c>
      <c r="E4" s="145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9">
        <f>IF(Inputs!C25=""," ",Inputs!C25)</f>
        <v>69317</v>
      </c>
      <c r="D6" s="199">
        <f>IF(Inputs!D25="","",Inputs!D25)</f>
        <v>43948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0.57725038682078811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2909</v>
      </c>
      <c r="D8" s="198">
        <f>IF(Inputs!D26="","",Inputs!D26)</f>
        <v>2280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66408</v>
      </c>
      <c r="D9" s="150">
        <f t="shared" si="2"/>
        <v>41668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14624</v>
      </c>
      <c r="D10" s="198">
        <f>IF(Inputs!D27="","",Inputs!D27)</f>
        <v>13795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0</v>
      </c>
      <c r="D12" s="198">
        <f>IF(Inputs!D30="","",MAX(Inputs!D30,0)/(1-Fin_Analysis!$I$84))</f>
        <v>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0.74706060562344012</v>
      </c>
      <c r="D13" s="226">
        <f t="shared" si="3"/>
        <v>0.63422681350687171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51784</v>
      </c>
      <c r="D14" s="227">
        <f t="shared" ref="D14:M14" si="4">IF(D6="","",D9-D10-MAX(D11,0)-MAX(D12,0))</f>
        <v>27873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>
        <f>IF(D14="","",IF(ABS(C14+D14)=ABS(C14)+ABS(D14),IF(C14&lt;0,-1,1)*(C14-D14)/D14,"Turn"))</f>
        <v>0.85785527212714818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8">
        <f>IF(Inputs!C29="","",Inputs!C29)</f>
        <v>27144</v>
      </c>
      <c r="D17" s="198">
        <f>IF(Inputs!D29="","",Inputs!D29)</f>
        <v>9231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24640</v>
      </c>
      <c r="D22" s="160">
        <f t="shared" ref="D22:M22" si="8">IF(D6="","",D14-MAX(D16,0)-MAX(D17,0)-ABS(MAX(D21,0)-MAX(D19,0)))</f>
        <v>18642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0.27193329197743699</v>
      </c>
      <c r="D23" s="152">
        <f t="shared" si="9"/>
        <v>0.32450009101665606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18849.599999999999</v>
      </c>
      <c r="D24" s="77">
        <f>IF(D6="","",D22*(1-Fin_Analysis!$I$84))</f>
        <v>14261.130000000001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>
        <f>IF(D24="","",IF(ABS(C24+D24)=ABS(C24)+ABS(D24),IF(C24&lt;0,-1,1)*(C24-D24)/D24,"Turn"))</f>
        <v>0.3217465937131207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4.1966617135767562E-2</v>
      </c>
      <c r="D40" s="155">
        <f t="shared" si="34"/>
        <v>5.1879493947392372E-2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0.2109727772407923</v>
      </c>
      <c r="D41" s="152">
        <f t="shared" si="35"/>
        <v>0.31389369254573585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0.39159225009737869</v>
      </c>
      <c r="D43" s="152">
        <f t="shared" si="37"/>
        <v>0.21004368799490306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0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0.35546835552606143</v>
      </c>
      <c r="D46" s="152">
        <f t="shared" si="40"/>
        <v>0.42418312551196868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1.1016233766233767</v>
      </c>
      <c r="D55" s="152">
        <f t="shared" si="47"/>
        <v>0.49517219182491151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0</v>
      </c>
      <c r="K3" s="24"/>
    </row>
    <row r="4" spans="1:11" ht="15" customHeight="1" x14ac:dyDescent="0.4">
      <c r="B4" s="3" t="s">
        <v>24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81">
        <f>I49-I28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69317</v>
      </c>
      <c r="D74" s="206"/>
      <c r="E74" s="235">
        <f>Inputs!E91</f>
        <v>69317</v>
      </c>
      <c r="F74" s="206"/>
      <c r="H74" s="235">
        <f>Inputs!F91</f>
        <v>69317</v>
      </c>
      <c r="I74" s="206"/>
      <c r="K74" s="24"/>
    </row>
    <row r="75" spans="1:11" ht="15" customHeight="1" x14ac:dyDescent="0.4">
      <c r="B75" s="104" t="s">
        <v>103</v>
      </c>
      <c r="C75" s="77">
        <f>Data!C8</f>
        <v>2909</v>
      </c>
      <c r="D75" s="158">
        <f>C75/$C$74</f>
        <v>4.1966617135767562E-2</v>
      </c>
      <c r="E75" s="235">
        <f>Inputs!E92</f>
        <v>2909</v>
      </c>
      <c r="F75" s="159">
        <f>E75/E74</f>
        <v>4.1966617135767562E-2</v>
      </c>
      <c r="H75" s="235">
        <f>Inputs!F92</f>
        <v>2909</v>
      </c>
      <c r="I75" s="159">
        <f>H75/$H$74</f>
        <v>4.1966617135767562E-2</v>
      </c>
      <c r="K75" s="24"/>
    </row>
    <row r="76" spans="1:11" ht="15" customHeight="1" x14ac:dyDescent="0.4">
      <c r="B76" s="35" t="s">
        <v>93</v>
      </c>
      <c r="C76" s="160">
        <f>C74-C75</f>
        <v>66408</v>
      </c>
      <c r="D76" s="207"/>
      <c r="E76" s="161">
        <f>E74-E75</f>
        <v>66408</v>
      </c>
      <c r="F76" s="207"/>
      <c r="H76" s="161">
        <f>H74-H75</f>
        <v>66408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14624</v>
      </c>
      <c r="D77" s="158">
        <f>C77/$C$74</f>
        <v>0.2109727772407923</v>
      </c>
      <c r="E77" s="235">
        <f>Inputs!E93</f>
        <v>14624</v>
      </c>
      <c r="F77" s="159">
        <f>E77/E74</f>
        <v>0.2109727772407923</v>
      </c>
      <c r="H77" s="235">
        <f>Inputs!F93</f>
        <v>14624</v>
      </c>
      <c r="I77" s="159">
        <f>H77/$H$74</f>
        <v>0.2109727772407923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218</v>
      </c>
      <c r="C79" s="254">
        <f>C76-C77-C78</f>
        <v>51784</v>
      </c>
      <c r="D79" s="255">
        <f>C79/C74</f>
        <v>0.74706060562344012</v>
      </c>
      <c r="E79" s="256">
        <f>E76-E77-E78</f>
        <v>51784</v>
      </c>
      <c r="F79" s="255">
        <f>E79/E74</f>
        <v>0.74706060562344012</v>
      </c>
      <c r="G79" s="257"/>
      <c r="H79" s="256">
        <f>H76-H77-H78</f>
        <v>51784</v>
      </c>
      <c r="I79" s="255">
        <f>H79/H74</f>
        <v>0.74706060562344012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238</v>
      </c>
      <c r="C81" s="77">
        <f>MAX(Data!C17,0)</f>
        <v>27144</v>
      </c>
      <c r="D81" s="158">
        <f>C81/$C$74</f>
        <v>0.39159225009737869</v>
      </c>
      <c r="E81" s="179">
        <f>E74*F81</f>
        <v>27144</v>
      </c>
      <c r="F81" s="159">
        <f>I81</f>
        <v>0.39159225009737869</v>
      </c>
      <c r="H81" s="235">
        <f>Inputs!F94</f>
        <v>27144</v>
      </c>
      <c r="I81" s="159">
        <f>H81/$H$74</f>
        <v>0.39159225009737869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121</v>
      </c>
      <c r="C83" s="162">
        <f>C79-C81-C82-C80</f>
        <v>24640</v>
      </c>
      <c r="D83" s="163">
        <f>C83/$C$74</f>
        <v>0.35546835552606143</v>
      </c>
      <c r="E83" s="164">
        <f>E79-E81-E82-E80</f>
        <v>24640</v>
      </c>
      <c r="F83" s="163">
        <f>E83/E74</f>
        <v>0.35546835552606143</v>
      </c>
      <c r="H83" s="164">
        <f>H79-H81-H82-H80</f>
        <v>24640</v>
      </c>
      <c r="I83" s="163">
        <f>H83/$H$74</f>
        <v>0.35546835552606143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0.23499999999999999</v>
      </c>
      <c r="E84" s="209"/>
      <c r="F84" s="178">
        <f t="shared" ref="F84" si="3">I84</f>
        <v>0.23499999999999999</v>
      </c>
      <c r="H84" s="209"/>
      <c r="I84" s="201">
        <f>Inputs!C16</f>
        <v>0.23499999999999999</v>
      </c>
      <c r="K84" s="24"/>
    </row>
    <row r="85" spans="1:11" ht="15" customHeight="1" x14ac:dyDescent="0.4">
      <c r="B85" s="260" t="s">
        <v>157</v>
      </c>
      <c r="C85" s="254">
        <f>C83*(1-I84)</f>
        <v>18849.599999999999</v>
      </c>
      <c r="D85" s="255">
        <f>C85/$C$74</f>
        <v>0.27193329197743699</v>
      </c>
      <c r="E85" s="261">
        <f>E83*(1-F84)</f>
        <v>18849.599999999999</v>
      </c>
      <c r="F85" s="255">
        <f>E85/E74</f>
        <v>0.27193329197743699</v>
      </c>
      <c r="G85" s="257"/>
      <c r="H85" s="261">
        <f>H83*(1-I84)</f>
        <v>18849.599999999999</v>
      </c>
      <c r="I85" s="255">
        <f>H85/$H$74</f>
        <v>0.27193329197743699</v>
      </c>
      <c r="K85" s="24"/>
    </row>
    <row r="86" spans="1:11" ht="15" customHeight="1" x14ac:dyDescent="0.4">
      <c r="B86" s="87" t="s">
        <v>153</v>
      </c>
      <c r="C86" s="166">
        <f>C85*Data!C4/Common_Shares</f>
        <v>10.014304364010451</v>
      </c>
      <c r="D86" s="206"/>
      <c r="E86" s="167">
        <f>E85*Data!C4/Common_Shares</f>
        <v>10.014304364010451</v>
      </c>
      <c r="F86" s="206"/>
      <c r="H86" s="167">
        <f>H85*Data!C4/Common_Shares</f>
        <v>10.014304364010451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0.10676230665256345</v>
      </c>
      <c r="D87" s="206"/>
      <c r="E87" s="259">
        <f>E86*Exchange_Rate/Dashboard!G3</f>
        <v>0.10676230665256345</v>
      </c>
      <c r="F87" s="206"/>
      <c r="H87" s="259">
        <f>H86*Exchange_Rate/Dashboard!G3</f>
        <v>0.10676230665256345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6.8</v>
      </c>
      <c r="D88" s="165">
        <f>C88/C86</f>
        <v>0.67902869264069265</v>
      </c>
      <c r="E88" s="169">
        <f>Inputs!E98</f>
        <v>6.8</v>
      </c>
      <c r="F88" s="165">
        <f>E88/E86</f>
        <v>0.67902869264069265</v>
      </c>
      <c r="H88" s="169">
        <f>Inputs!F98</f>
        <v>6.8</v>
      </c>
      <c r="I88" s="165">
        <f>H88/H86</f>
        <v>0.67902869264069265</v>
      </c>
      <c r="K88" s="24"/>
    </row>
    <row r="89" spans="1:11" ht="15" customHeight="1" x14ac:dyDescent="0.4">
      <c r="B89" s="87" t="s">
        <v>207</v>
      </c>
      <c r="C89" s="258">
        <f>C88*Exchange_Rate/Dashboard!G3</f>
        <v>7.2494669509594878E-2</v>
      </c>
      <c r="D89" s="206"/>
      <c r="E89" s="258">
        <f>E88*Exchange_Rate/Dashboard!G3</f>
        <v>7.2494669509594878E-2</v>
      </c>
      <c r="F89" s="206"/>
      <c r="H89" s="258">
        <f>H88*Exchange_Rate/Dashboard!G3</f>
        <v>7.2494669509594878E-2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196</v>
      </c>
      <c r="F93" s="143">
        <f>FV(E87,D93,0,-(E86/(C93-D94)))*Exchange_Rate</f>
        <v>274.30949096537489</v>
      </c>
      <c r="H93" s="87" t="s">
        <v>196</v>
      </c>
      <c r="I93" s="143">
        <f>FV(H87,D93,0,-(H86/(C93-D94)))*Exchange_Rate</f>
        <v>274.30949096537489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159.15961238461489</v>
      </c>
      <c r="H94" s="87" t="s">
        <v>197</v>
      </c>
      <c r="I94" s="143">
        <f>FV(H89,D93,0,-(H88/(C93-D94)))*Exchange_Rate</f>
        <v>159.15961238461489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256704.20593100681</v>
      </c>
      <c r="D97" s="210"/>
      <c r="E97" s="122">
        <f>PV(C94,D93,0,-F93)</f>
        <v>136.38029717950084</v>
      </c>
      <c r="F97" s="210"/>
      <c r="H97" s="122">
        <f>PV(C94,D93,0,-I93)</f>
        <v>136.38029717950084</v>
      </c>
      <c r="I97" s="122">
        <f>PV(C93,D93,0,-I93)</f>
        <v>186.15117468931334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256704.20593100681</v>
      </c>
      <c r="D100" s="109">
        <f>MIN(F100*(1-C94),E100)</f>
        <v>115.92325260257572</v>
      </c>
      <c r="E100" s="109">
        <f>MAX(E97+H98+E99,0)</f>
        <v>136.38029717950084</v>
      </c>
      <c r="F100" s="109">
        <f>(E100+H100)/2</f>
        <v>136.38029717950084</v>
      </c>
      <c r="H100" s="109">
        <f>MAX(C100*Data!$C$4/Common_Shares,0)</f>
        <v>136.38029717950084</v>
      </c>
      <c r="I100" s="109">
        <f>MAX(I97+H98+H99,0)</f>
        <v>186.15117468931334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148944.68933499869</v>
      </c>
      <c r="D103" s="109">
        <f>MIN(F103*(1-C94),E103)</f>
        <v>67.260888005215477</v>
      </c>
      <c r="E103" s="122">
        <f>PV(C94,D93,0,-F94)</f>
        <v>79.130456476724092</v>
      </c>
      <c r="F103" s="109">
        <f>(E103+H103)/2</f>
        <v>79.130456476724092</v>
      </c>
      <c r="H103" s="122">
        <f>PV(C94,D93,0,-I94)</f>
        <v>79.130456476724092</v>
      </c>
      <c r="I103" s="109">
        <f>PV(C93,D93,0,-I94)</f>
        <v>108.00847139566035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202824.44763300277</v>
      </c>
      <c r="D106" s="109">
        <f>(D100+D103)/2</f>
        <v>91.592070303895596</v>
      </c>
      <c r="E106" s="122">
        <f>(E100+E103)/2</f>
        <v>107.75537682811247</v>
      </c>
      <c r="F106" s="109">
        <f>(F100+F103)/2</f>
        <v>107.75537682811247</v>
      </c>
      <c r="H106" s="122">
        <f>(H100+H103)/2</f>
        <v>107.75537682811247</v>
      </c>
      <c r="I106" s="122">
        <f>(I100+I103)/2</f>
        <v>147.07982304248685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