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6BADF6B-1A04-4E66-8EAD-BE2DC3D2360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33" i="4"/>
  <c r="D32" i="4"/>
  <c r="C32" i="4"/>
  <c r="D31" i="4"/>
  <c r="C31" i="4"/>
  <c r="D27" i="4"/>
  <c r="C27" i="4"/>
  <c r="D4" i="3"/>
  <c r="D3" i="3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E95" i="4"/>
  <c r="D53" i="4"/>
  <c r="I3" i="3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7" i="2" s="1"/>
  <c r="C58" i="2"/>
  <c r="C59" i="2"/>
  <c r="D52" i="3"/>
  <c r="C98" i="3"/>
  <c r="D6" i="3"/>
  <c r="D53" i="3"/>
  <c r="C21" i="1" l="1"/>
  <c r="C20" i="1" s="1"/>
  <c r="D7" i="3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<sst xmlns="http://schemas.openxmlformats.org/spreadsheetml/2006/main" count="392" uniqueCount="274">
  <si>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</si>
  <si>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</si>
  <si>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</si>
  <si>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</si>
  <si>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</si>
  <si>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</si>
  <si>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</si>
  <si>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</si>
  <si>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</si>
  <si>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</si>
  <si>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</si>
  <si>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</si>
  <si>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</si>
  <si>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</si>
  <si>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</si>
  <si>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</si>
  <si>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</si>
  <si>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</si>
  <si>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</si>
  <si>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</si>
  <si>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</si>
  <si>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</si>
  <si>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</si>
  <si>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</si>
  <si>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</si>
  <si>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</si>
  <si>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</si>
  <si>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</si>
  <si>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</si>
  <si>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</si>
  <si>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</si>
  <si>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</si>
  <si>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</si>
  <si>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</si>
  <si>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</si>
  <si>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</si>
  <si>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</si>
  <si>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</si>
  <si>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</si>
  <si>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</si>
  <si>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</si>
  <si>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</si>
  <si>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</si>
  <si>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</si>
  <si>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</si>
  <si>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</si>
  <si>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</si>
  <si>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</si>
  <si>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</si>
  <si>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</si>
  <si>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</si>
  <si>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</si>
  <si>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</si>
  <si>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</si>
  <si>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</si>
  <si>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</si>
  <si>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</si>
  <si>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</si>
  <si>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</si>
  <si>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</si>
  <si>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</si>
  <si>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</si>
  <si>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</si>
  <si>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</si>
  <si>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</si>
  <si>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</si>
  <si>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</si>
  <si>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</si>
  <si>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</si>
  <si>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</si>
  <si>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</si>
  <si>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</si>
  <si>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</si>
  <si>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</si>
  <si>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</si>
  <si>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</si>
  <si>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</si>
  <si>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</si>
  <si>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</si>
  <si>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</si>
  <si>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</si>
  <si>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</si>
  <si>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</si>
  <si>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</si>
  <si>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</si>
  <si>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</si>
  <si>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</si>
  <si>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</si>
  <si>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</si>
  <si>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</si>
  <si>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</si>
  <si>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</si>
  <si>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</si>
  <si>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</si>
  <si>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</si>
  <si>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</si>
  <si>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</si>
  <si>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</si>
  <si>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</si>
  <si>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</si>
  <si>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</si>
  <si>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</si>
  <si>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</si>
  <si>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</si>
  <si>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</si>
  <si>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</si>
  <si>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</si>
  <si>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</si>
  <si>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</si>
  <si>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</si>
  <si>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</si>
  <si>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</si>
  <si>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</si>
  <si>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</si>
  <si>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</si>
  <si>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</si>
  <si>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</si>
  <si>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</si>
  <si>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</si>
  <si>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</si>
  <si>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</si>
  <si>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</si>
  <si>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</si>
  <si>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</si>
  <si>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</si>
  <si>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</si>
  <si>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</si>
  <si>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</si>
  <si>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</si>
  <si>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</si>
  <si>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</si>
  <si>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</si>
  <si>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</si>
  <si>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</si>
  <si>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</si>
  <si>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</si>
  <si>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</si>
  <si>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</si>
  <si>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</si>
  <si>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</si>
  <si>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</si>
  <si>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</si>
  <si>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</si>
  <si>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</si>
  <si>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</si>
  <si>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</si>
  <si>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</si>
  <si>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</si>
  <si>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</si>
  <si>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</si>
  <si>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</si>
  <si>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</si>
  <si>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</si>
  <si>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</si>
  <si>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</si>
  <si>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</si>
  <si>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</si>
  <si>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</si>
  <si>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</si>
  <si>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</si>
  <si>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</si>
  <si>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</si>
  <si>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</si>
  <si>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</si>
  <si>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</si>
  <si>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</si>
  <si>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</si>
  <si>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</si>
  <si>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</si>
  <si>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</si>
  <si>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</si>
  <si>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</si>
  <si>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</si>
  <si>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</si>
  <si>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</si>
  <si>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</si>
  <si>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</si>
  <si>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</si>
  <si>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</si>
  <si>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</si>
  <si>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</si>
  <si>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</si>
  <si>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</si>
  <si>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</si>
  <si>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</si>
  <si>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</si>
  <si>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</si>
  <si>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</si>
  <si>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</si>
  <si>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</si>
  <si>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</si>
  <si>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</si>
  <si>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</si>
  <si>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</si>
  <si>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</si>
  <si>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</si>
  <si>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</si>
  <si>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</si>
  <si>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</si>
  <si>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</si>
  <si>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</si>
  <si>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</si>
  <si>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</si>
  <si>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</si>
  <si>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</si>
  <si>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</si>
  <si>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</si>
  <si>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</si>
  <si>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</si>
  <si>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</si>
  <si>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</si>
  <si>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</si>
  <si>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</si>
  <si>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</si>
  <si>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</si>
  <si>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</si>
  <si>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</si>
  <si>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</si>
  <si>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</si>
  <si>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</si>
  <si>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</si>
  <si>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</si>
  <si>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</si>
  <si>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</si>
  <si>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</si>
  <si>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</si>
  <si>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</si>
  <si>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</si>
  <si>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</si>
  <si>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</si>
  <si>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</si>
  <si>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</si>
  <si>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</si>
  <si>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</si>
  <si>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</si>
  <si>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</si>
  <si>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</si>
  <si>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</si>
  <si>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</si>
  <si>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</si>
  <si>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</si>
  <si>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</si>
  <si>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</si>
  <si>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</si>
  <si>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</si>
  <si>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</si>
  <si>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</si>
  <si>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</si>
  <si>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</si>
  <si>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</si>
  <si>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</si>
  <si>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</si>
  <si>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</si>
  <si>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</si>
  <si>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</si>
  <si>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</si>
  <si>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</si>
  <si>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</si>
  <si>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</si>
  <si>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</si>
  <si>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</si>
  <si>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</si>
  <si>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</si>
  <si>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</si>
  <si>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</si>
  <si>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</si>
  <si>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</si>
  <si>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</si>
  <si>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0669.HK</t>
  </si>
  <si>
    <t>創科實業</t>
  </si>
  <si>
    <t xml:space="preserve">Superior Cycl. </t>
  </si>
  <si>
    <t>C0006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</si>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</sst>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45625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587107850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176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13731411</v>
      </c>
      <c r="D25" s="148">
        <v>13253917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8311775</v>
      </c>
      <c r="D26" s="149">
        <v>8041340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2347219+1406210</f>
        <v>3753429</v>
      </c>
      <c r="D27" s="149">
        <f>2191001+1349840</f>
        <v>3540841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>
        <v>548338</v>
      </c>
      <c r="D28" s="149">
        <v>484343</v>
      </c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124056</v>
      </c>
      <c r="D29" s="149">
        <v>69868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0</v>
      </c>
      <c r="D30" s="149">
        <v>0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>
        <f>1862982-2265630</f>
        <v>-402648</v>
      </c>
      <c r="D31" s="149">
        <f>1816473-1375529</f>
        <v>440944</v>
      </c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>
        <f>198268+269041+166178</f>
        <v>633487</v>
      </c>
      <c r="D32" s="149">
        <f>132434+240428+139998</f>
        <v>512860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>
        <v>502000</v>
      </c>
      <c r="D33" s="149">
        <f>C33*1.137</f>
        <v>570774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0.1261+0.1223</f>
        <v>0.24840000000000001</v>
      </c>
      <c r="D44" s="247">
        <f>0.1158+0.1223</f>
        <v>0.23810000000000001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1.8675828550032535E-2</v>
      </c>
      <c r="D45" s="151">
        <f>IF(D44="","",D44*Exchange_Rate/Dashboard!$G$3)</f>
        <v>1.7901428251862909E-2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13731411</v>
      </c>
      <c r="D91" s="206"/>
      <c r="E91" s="248">
        <f>C91</f>
        <v>13731411</v>
      </c>
      <c r="F91" s="248">
        <f>C91</f>
        <v>13731411</v>
      </c>
    </row>
    <row r="92" spans="2:8" ht="13.9" x14ac:dyDescent="0.4">
      <c r="B92" s="104" t="s">
        <v>102</v>
      </c>
      <c r="C92" s="77">
        <f>C26</f>
        <v>8311775</v>
      </c>
      <c r="D92" s="158">
        <f>C92/C91</f>
        <v>0.60531106380837341</v>
      </c>
      <c r="E92" s="249">
        <f>E91*D92</f>
        <v>8311775.0000000009</v>
      </c>
      <c r="F92" s="249">
        <f>F91*D92</f>
        <v>8311775.0000000009</v>
      </c>
    </row>
    <row r="93" spans="2:8" ht="13.9" x14ac:dyDescent="0.4">
      <c r="B93" s="104" t="s">
        <v>230</v>
      </c>
      <c r="C93" s="77">
        <f>C27+C28</f>
        <v>4301767</v>
      </c>
      <c r="D93" s="158">
        <f>C93/C91</f>
        <v>0.31327931266495485</v>
      </c>
      <c r="E93" s="249">
        <f>E91*D93</f>
        <v>4301767</v>
      </c>
      <c r="F93" s="249">
        <f>F91*D93</f>
        <v>4301767</v>
      </c>
    </row>
    <row r="94" spans="2:8" ht="13.9" x14ac:dyDescent="0.4">
      <c r="B94" s="104" t="s">
        <v>239</v>
      </c>
      <c r="C94" s="77">
        <f>C29</f>
        <v>124056</v>
      </c>
      <c r="D94" s="158">
        <f>C94/C91</f>
        <v>9.0344684898005026E-3</v>
      </c>
      <c r="E94" s="250"/>
      <c r="F94" s="249">
        <f>F91*D94</f>
        <v>124056.00000000001</v>
      </c>
    </row>
    <row r="95" spans="2:8" ht="13.9" x14ac:dyDescent="0.4">
      <c r="B95" s="28" t="s">
        <v>229</v>
      </c>
      <c r="C95" s="77">
        <f>ABS(MAX(C33,0)-C32)</f>
        <v>131487</v>
      </c>
      <c r="D95" s="158">
        <f>C95/C91</f>
        <v>9.5756364731927404E-3</v>
      </c>
      <c r="E95" s="249">
        <f>E91*D95</f>
        <v>131487</v>
      </c>
      <c r="F95" s="249">
        <f>F91*D95</f>
        <v>131487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0.24840000000000001</v>
      </c>
      <c r="D98" s="263"/>
      <c r="E98" s="251">
        <f>F98</f>
        <v>0.24840000000000001</v>
      </c>
      <c r="F98" s="251">
        <f>C98</f>
        <v>0.24840000000000001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0669.HK : 創科實業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0669.HK</v>
      </c>
      <c r="D3" s="290"/>
      <c r="E3" s="87"/>
      <c r="F3" s="3" t="s">
        <v>1</v>
      </c>
      <c r="G3" s="131">
        <v>103.4</v>
      </c>
      <c r="H3" s="133" t="s">
        <v>273</v>
      </c>
    </row>
    <row r="4" spans="1:10" ht="15.75" customHeight="1" x14ac:dyDescent="0.4">
      <c r="B4" s="35" t="s">
        <v>181</v>
      </c>
      <c r="C4" s="291" t="str">
        <f>Inputs!C5</f>
        <v>創科實業</v>
      </c>
      <c r="D4" s="292"/>
      <c r="E4" s="87"/>
      <c r="F4" s="3" t="s">
        <v>2</v>
      </c>
      <c r="G4" s="295">
        <f>Inputs!C10</f>
        <v>587107850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45625</v>
      </c>
      <c r="D5" s="294"/>
      <c r="E5" s="34"/>
      <c r="F5" s="35" t="s">
        <v>96</v>
      </c>
      <c r="G5" s="287">
        <f>G3*G4/1000000</f>
        <v>60706.951690000002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USD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C0006</v>
      </c>
      <c r="E7" s="87"/>
      <c r="F7" s="35" t="s">
        <v>5</v>
      </c>
      <c r="G7" s="132">
        <v>7.7740767796834307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HK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8.1409623526671804E-2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9.0344684898005026E-3</v>
      </c>
      <c r="F24" s="139" t="s">
        <v>242</v>
      </c>
      <c r="G24" s="265">
        <f>G3/(Fin_Analysis!H86*G7)</f>
        <v>12.074158045628973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0.22549490554616261</v>
      </c>
    </row>
    <row r="26" spans="1:8" ht="15.75" customHeight="1" x14ac:dyDescent="0.4">
      <c r="B26" s="137" t="s">
        <v>259</v>
      </c>
      <c r="C26" s="170">
        <f>Fin_Analysis!I80+Fin_Analysis!I82</f>
        <v>9.5756364731927404E-3</v>
      </c>
      <c r="F26" s="140" t="s">
        <v>179</v>
      </c>
      <c r="G26" s="177">
        <f>Fin_Analysis!H88*Exchange_Rate/G3</f>
        <v>1.8675828550032535E-2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88.864034424575252</v>
      </c>
      <c r="D29" s="128">
        <f>G29*(1+G20)</f>
        <v>164.10397075684295</v>
      </c>
      <c r="E29" s="87"/>
      <c r="F29" s="130">
        <f>IF(Fin_Analysis!C108="Profit",Fin_Analysis!F100,IF(Fin_Analysis!C108="Dividend",Fin_Analysis!F103,Fin_Analysis!F106))</f>
        <v>104.54592285244148</v>
      </c>
      <c r="G29" s="286">
        <f>IF(Fin_Analysis!C108="Profit",Fin_Analysis!I100,IF(Fin_Analysis!C108="Dividend",Fin_Analysis!I103,Fin_Analysis!I106))</f>
        <v>142.6991050059504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1117869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USD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13731411</v>
      </c>
      <c r="D6" s="199">
        <f>IF(Inputs!D25="","",Inputs!D25)</f>
        <v>13253917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3.6026632730535413E-2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8311775</v>
      </c>
      <c r="D8" s="198">
        <f>IF(Inputs!D26="","",Inputs!D26)</f>
        <v>8041340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5419636</v>
      </c>
      <c r="D9" s="150">
        <f t="shared" si="2"/>
        <v>5212577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3753429</v>
      </c>
      <c r="D10" s="198">
        <f>IF(Inputs!D27="","",Inputs!D27)</f>
        <v>3540841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>
        <f>IF(Inputs!C28="","",Inputs!C28)</f>
        <v>548338</v>
      </c>
      <c r="D11" s="198">
        <f>IF(Inputs!D28="","",Inputs!D28)</f>
        <v>484343</v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0</v>
      </c>
      <c r="D12" s="198">
        <f>IF(Inputs!D30="","",MAX(Inputs!D30,0)/(1-Fin_Analysis!$I$84))</f>
        <v>0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8.1409623526671804E-2</v>
      </c>
      <c r="D13" s="226">
        <f t="shared" si="3"/>
        <v>8.9588081772354541E-2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1117869</v>
      </c>
      <c r="D14" s="227">
        <f t="shared" ref="D14:M14" si="4">IF(D6="","",D9-D10-MAX(D11,0)-MAX(D12,0))</f>
        <v>1187393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-5.8551802141329788E-2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>
        <f>IF(Inputs!C31="","",Inputs!C31)</f>
        <v>-402648</v>
      </c>
      <c r="D16" s="198">
        <f>IF(Inputs!D31="","",Inputs!D31)</f>
        <v>440944</v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124056</v>
      </c>
      <c r="D17" s="198">
        <f>IF(Inputs!D29="","",Inputs!D29)</f>
        <v>69868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>
        <f t="shared" ref="C18:M18" si="6">IF(OR(C6="",C19=""),"",C19/C6)</f>
        <v>4.6134151836253391E-2</v>
      </c>
      <c r="D18" s="151">
        <f t="shared" si="6"/>
        <v>3.8694975983326288E-2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>
        <f>IF(Inputs!C32="","",Inputs!C32)</f>
        <v>633487</v>
      </c>
      <c r="D19" s="198">
        <f>IF(Inputs!D32="","",Inputs!D32)</f>
        <v>512860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3.6558515363060651E-2</v>
      </c>
      <c r="D20" s="151">
        <f t="shared" si="7"/>
        <v>4.3064552162202313E-2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>
        <f>IF(Inputs!C33="","",Inputs!C33)</f>
        <v>502000</v>
      </c>
      <c r="D21" s="198">
        <f>IF(Inputs!D33="","",Inputs!D33)</f>
        <v>570774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862326</v>
      </c>
      <c r="D22" s="160">
        <f t="shared" ref="D22:M22" si="8">IF(D6="","",D14-MAX(D16,0)-MAX(D17,0)-ABS(MAX(D21,0)-MAX(D19,0)))</f>
        <v>618667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4.7099638922758924E-2</v>
      </c>
      <c r="D23" s="152">
        <f t="shared" si="9"/>
        <v>3.5008537476128754E-2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646744.5</v>
      </c>
      <c r="D24" s="77">
        <f>IF(D6="","",D22*(1-Fin_Analysis!$I$84))</f>
        <v>464000.25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0.39384515417825744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0.60531106380837341</v>
      </c>
      <c r="D40" s="155">
        <f t="shared" si="34"/>
        <v>0.60671422644339779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0.31327931266495485</v>
      </c>
      <c r="D41" s="152">
        <f t="shared" si="35"/>
        <v>0.3036976917842476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3.326895739576459E-2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9.0344684898005026E-3</v>
      </c>
      <c r="D43" s="152">
        <f t="shared" si="37"/>
        <v>5.2714982295422553E-3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9.5756364731927404E-3</v>
      </c>
      <c r="D45" s="152">
        <f t="shared" si="39"/>
        <v>4.369576178876026E-3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6.2799518563678561E-2</v>
      </c>
      <c r="D46" s="152">
        <f t="shared" si="40"/>
        <v>4.6678049968171674E-2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>
        <f t="shared" ref="C51:M51" si="44">IF(D6="","",C16/(C6-D6))</f>
        <v>-0.8432524806594428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0.1438620660863757</v>
      </c>
      <c r="D55" s="152">
        <f t="shared" si="47"/>
        <v>0.11293312880758147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13731411</v>
      </c>
      <c r="D74" s="206"/>
      <c r="E74" s="235">
        <f>Inputs!E91</f>
        <v>13731411</v>
      </c>
      <c r="F74" s="206"/>
      <c r="H74" s="235">
        <f>Inputs!F91</f>
        <v>13731411</v>
      </c>
      <c r="I74" s="206"/>
      <c r="K74" s="24"/>
    </row>
    <row r="75" spans="1:11" ht="15" customHeight="1" x14ac:dyDescent="0.4">
      <c r="B75" s="104" t="s">
        <v>102</v>
      </c>
      <c r="C75" s="77">
        <f>Data!C8</f>
        <v>8311775</v>
      </c>
      <c r="D75" s="158">
        <f>C75/$C$74</f>
        <v>0.60531106380837341</v>
      </c>
      <c r="E75" s="235">
        <f>Inputs!E92</f>
        <v>8311775.0000000009</v>
      </c>
      <c r="F75" s="159">
        <f>E75/E74</f>
        <v>0.60531106380837341</v>
      </c>
      <c r="H75" s="235">
        <f>Inputs!F92</f>
        <v>8311775.0000000009</v>
      </c>
      <c r="I75" s="159">
        <f>H75/$H$74</f>
        <v>0.60531106380837341</v>
      </c>
      <c r="K75" s="24"/>
    </row>
    <row r="76" spans="1:11" ht="15" customHeight="1" x14ac:dyDescent="0.4">
      <c r="B76" s="35" t="s">
        <v>92</v>
      </c>
      <c r="C76" s="160">
        <f>C74-C75</f>
        <v>5419636</v>
      </c>
      <c r="D76" s="207"/>
      <c r="E76" s="161">
        <f>E74-E75</f>
        <v>5419635.9999999991</v>
      </c>
      <c r="F76" s="207"/>
      <c r="H76" s="161">
        <f>H74-H75</f>
        <v>5419635.9999999991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4301767</v>
      </c>
      <c r="D77" s="158">
        <f>C77/$C$74</f>
        <v>0.31327931266495485</v>
      </c>
      <c r="E77" s="235">
        <f>Inputs!E93</f>
        <v>4301767</v>
      </c>
      <c r="F77" s="159">
        <f>E77/E74</f>
        <v>0.31327931266495485</v>
      </c>
      <c r="H77" s="235">
        <f>Inputs!F93</f>
        <v>4301767</v>
      </c>
      <c r="I77" s="159">
        <f>H77/$H$74</f>
        <v>0.31327931266495485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1117869</v>
      </c>
      <c r="D79" s="255">
        <f>C79/C74</f>
        <v>8.1409623526671804E-2</v>
      </c>
      <c r="E79" s="256">
        <f>E76-E77-E78</f>
        <v>1117868.9999999991</v>
      </c>
      <c r="F79" s="255">
        <f>E79/E74</f>
        <v>8.1409623526671734E-2</v>
      </c>
      <c r="G79" s="257"/>
      <c r="H79" s="256">
        <f>H76-H77-H78</f>
        <v>1117868.9999999991</v>
      </c>
      <c r="I79" s="255">
        <f>H79/H74</f>
        <v>8.1409623526671734E-2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124056</v>
      </c>
      <c r="D81" s="158">
        <f>C81/$C$74</f>
        <v>9.0344684898005026E-3</v>
      </c>
      <c r="E81" s="179">
        <f>E74*F81</f>
        <v>124056.00000000001</v>
      </c>
      <c r="F81" s="159">
        <f>I81</f>
        <v>9.0344684898005026E-3</v>
      </c>
      <c r="H81" s="235">
        <f>Inputs!F94</f>
        <v>124056.00000000001</v>
      </c>
      <c r="I81" s="159">
        <f>H81/$H$74</f>
        <v>9.0344684898005026E-3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131487</v>
      </c>
      <c r="D82" s="158">
        <f>C82/$C$74</f>
        <v>9.5756364731927404E-3</v>
      </c>
      <c r="E82" s="235">
        <f>Inputs!E95</f>
        <v>131487</v>
      </c>
      <c r="F82" s="159">
        <f>E82/E74</f>
        <v>9.5756364731927404E-3</v>
      </c>
      <c r="H82" s="235">
        <f>Inputs!F95</f>
        <v>131487</v>
      </c>
      <c r="I82" s="159">
        <f>H82/$H$74</f>
        <v>9.5756364731927404E-3</v>
      </c>
      <c r="K82" s="24"/>
    </row>
    <row r="83" spans="1:11" ht="15" customHeight="1" thickBot="1" x14ac:dyDescent="0.45">
      <c r="B83" s="105" t="s">
        <v>120</v>
      </c>
      <c r="C83" s="162">
        <f>C79-C81-C82-C80</f>
        <v>862326</v>
      </c>
      <c r="D83" s="163">
        <f>C83/$C$74</f>
        <v>6.2799518563678561E-2</v>
      </c>
      <c r="E83" s="164">
        <f>E79-E81-E82-E80</f>
        <v>862325.99999999907</v>
      </c>
      <c r="F83" s="163">
        <f>E83/E74</f>
        <v>6.2799518563678491E-2</v>
      </c>
      <c r="H83" s="164">
        <f>H79-H81-H82-H80</f>
        <v>862325.99999999907</v>
      </c>
      <c r="I83" s="163">
        <f>H83/$H$74</f>
        <v>6.2799518563678491E-2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646744.5</v>
      </c>
      <c r="D85" s="255">
        <f>C85/$C$74</f>
        <v>4.7099638922758924E-2</v>
      </c>
      <c r="E85" s="261">
        <f>E83*(1-F84)</f>
        <v>646744.4999999993</v>
      </c>
      <c r="F85" s="255">
        <f>E85/E74</f>
        <v>4.7099638922758869E-2</v>
      </c>
      <c r="G85" s="257"/>
      <c r="H85" s="261">
        <f>H83*(1-I84)</f>
        <v>646744.4999999993</v>
      </c>
      <c r="I85" s="255">
        <f>H85/$H$74</f>
        <v>4.7099638922758869E-2</v>
      </c>
      <c r="K85" s="24"/>
    </row>
    <row r="86" spans="1:11" ht="15" customHeight="1" x14ac:dyDescent="0.4">
      <c r="B86" s="87" t="s">
        <v>152</v>
      </c>
      <c r="C86" s="166">
        <f>C85*Data!C4/Common_Shares</f>
        <v>1.1015769930516173</v>
      </c>
      <c r="D86" s="206"/>
      <c r="E86" s="167">
        <f>E85*Data!C4/Common_Shares</f>
        <v>1.1015769930516162</v>
      </c>
      <c r="F86" s="206"/>
      <c r="H86" s="167">
        <f>H85*Data!C4/Common_Shares</f>
        <v>1.1015769930516162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8.2821509890871114E-2</v>
      </c>
      <c r="D87" s="206"/>
      <c r="E87" s="259">
        <f>E86*Exchange_Rate/Dashboard!G3</f>
        <v>8.2821509890871031E-2</v>
      </c>
      <c r="F87" s="206"/>
      <c r="H87" s="259">
        <f>H86*Exchange_Rate/Dashboard!G3</f>
        <v>8.2821509890871031E-2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0.24840000000000001</v>
      </c>
      <c r="D88" s="165">
        <f>C88/C86</f>
        <v>0.22549490554616239</v>
      </c>
      <c r="E88" s="169">
        <f>Inputs!E98</f>
        <v>0.24840000000000001</v>
      </c>
      <c r="F88" s="165">
        <f>E88/E86</f>
        <v>0.22549490554616261</v>
      </c>
      <c r="H88" s="169">
        <f>Inputs!F98</f>
        <v>0.24840000000000001</v>
      </c>
      <c r="I88" s="165">
        <f>H88/H86</f>
        <v>0.22549490554616261</v>
      </c>
      <c r="K88" s="24"/>
    </row>
    <row r="89" spans="1:11" ht="15" customHeight="1" x14ac:dyDescent="0.4">
      <c r="B89" s="87" t="s">
        <v>206</v>
      </c>
      <c r="C89" s="258">
        <f>C88*Exchange_Rate/Dashboard!G3</f>
        <v>1.8675828550032535E-2</v>
      </c>
      <c r="D89" s="206"/>
      <c r="E89" s="258">
        <f>E88*Exchange_Rate/Dashboard!G3</f>
        <v>1.8675828550032535E-2</v>
      </c>
      <c r="F89" s="206"/>
      <c r="H89" s="258">
        <f>H88*Exchange_Rate/Dashboard!G3</f>
        <v>1.8675828550032535E-2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195</v>
      </c>
      <c r="F93" s="143">
        <f>FV(E87,D93,0,-(E86/(C93-D94)))*Exchange_Rate</f>
        <v>210.2791933530786</v>
      </c>
      <c r="H93" s="87" t="s">
        <v>195</v>
      </c>
      <c r="I93" s="143">
        <f>FV(H87,D93,0,-(H86/(C93-D94)))*Exchange_Rate</f>
        <v>210.2791933530786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34.94046428243643</v>
      </c>
      <c r="H94" s="87" t="s">
        <v>196</v>
      </c>
      <c r="I94" s="143">
        <f>FV(H89,D93,0,-(H88/(C93-D94)))*Exchange_Rate</f>
        <v>34.94046428243643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61379731.992162779</v>
      </c>
      <c r="D97" s="210"/>
      <c r="E97" s="122">
        <f>PV(C94,D93,0,-F93)</f>
        <v>104.54592285244148</v>
      </c>
      <c r="F97" s="210"/>
      <c r="H97" s="122">
        <f>PV(C94,D93,0,-I93)</f>
        <v>104.54592285244148</v>
      </c>
      <c r="I97" s="122">
        <f>PV(C93,D93,0,-I93)</f>
        <v>142.6991050059504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61379731.992162779</v>
      </c>
      <c r="D100" s="109">
        <f>MIN(F100*(1-C94),E100)</f>
        <v>88.864034424575252</v>
      </c>
      <c r="E100" s="109">
        <f>MAX(E97+H98+E99,0)</f>
        <v>104.54592285244148</v>
      </c>
      <c r="F100" s="109">
        <f>(E100+H100)/2</f>
        <v>104.54592285244148</v>
      </c>
      <c r="H100" s="109">
        <f>MAX(C100*Data!$C$4/Common_Shares,0)</f>
        <v>104.54592285244148</v>
      </c>
      <c r="I100" s="109">
        <f>MAX(I97+H98+H99,0)</f>
        <v>142.6991050059504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10198994.485092197</v>
      </c>
      <c r="D103" s="109">
        <f>MIN(F103*(1-C94),E103)</f>
        <v>14.765848067486012</v>
      </c>
      <c r="E103" s="122">
        <f>PV(C94,D93,0,-F94)</f>
        <v>17.371585961748249</v>
      </c>
      <c r="F103" s="109">
        <f>(E103+H103)/2</f>
        <v>17.371585961748249</v>
      </c>
      <c r="H103" s="122">
        <f>PV(C94,D93,0,-I94)</f>
        <v>17.371585961748249</v>
      </c>
      <c r="I103" s="109">
        <f>PV(C93,D93,0,-I94)</f>
        <v>23.711204623198913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35789363.238627493</v>
      </c>
      <c r="D106" s="109">
        <f>(D100+D103)/2</f>
        <v>51.814941246030628</v>
      </c>
      <c r="E106" s="122">
        <f>(E100+E103)/2</f>
        <v>60.958754407094865</v>
      </c>
      <c r="F106" s="109">
        <f>(F100+F103)/2</f>
        <v>60.958754407094865</v>
      </c>
      <c r="H106" s="122">
        <f>(H100+H103)/2</f>
        <v>60.958754407094865</v>
      </c>
      <c r="I106" s="122">
        <f>(I100+I103)/2</f>
        <v>83.205154814574655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