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852A0C-7D75-4866-9E0D-C79C8F15F10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E92" i="4"/>
  <c r="F97" i="4"/>
  <c r="E95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<sst xmlns="http://schemas.openxmlformats.org/spreadsheetml/2006/main" count="392" uniqueCount="275">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</sst>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229</v>
      </c>
    </row>
    <row r="10" spans="1:5" ht="13.9" x14ac:dyDescent="0.4">
      <c r="B10" s="139" t="s">
        <v>204</v>
      </c>
      <c r="C10" s="192">
        <v>6779458129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270</v>
      </c>
      <c r="D17" s="24"/>
    </row>
    <row r="18" spans="2:13" ht="13.9" x14ac:dyDescent="0.4">
      <c r="B18" s="237" t="s">
        <v>224</v>
      </c>
      <c r="C18" s="239" t="s">
        <v>230</v>
      </c>
      <c r="D18" s="24"/>
    </row>
    <row r="19" spans="2:13" ht="13.9" x14ac:dyDescent="0.4">
      <c r="B19" s="237" t="s">
        <v>225</v>
      </c>
      <c r="C19" s="239" t="s">
        <v>271</v>
      </c>
      <c r="D19" s="24"/>
    </row>
    <row r="20" spans="2:13" ht="13.9" x14ac:dyDescent="0.4">
      <c r="B20" s="238" t="s">
        <v>214</v>
      </c>
      <c r="C20" s="239" t="s">
        <v>271</v>
      </c>
      <c r="D20" s="24"/>
    </row>
    <row r="21" spans="2:13" ht="13.9" x14ac:dyDescent="0.4">
      <c r="B21" s="221" t="s">
        <v>217</v>
      </c>
      <c r="C21" s="239" t="s">
        <v>270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4823223</v>
      </c>
      <c r="D25" s="148">
        <v>3684261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3372942</v>
      </c>
      <c r="D26" s="149">
        <v>2506999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1070762</v>
      </c>
      <c r="D27" s="149">
        <v>881682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10228</v>
      </c>
      <c r="D29" s="149">
        <v>6896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0</v>
      </c>
      <c r="D30" s="149">
        <v>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0.0065+0.0056</f>
        <v>1.21E-2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7.423312883435583E-2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6">
        <v>5</v>
      </c>
    </row>
    <row r="87" spans="2:8" ht="13.9" x14ac:dyDescent="0.4">
      <c r="B87" s="10" t="s">
        <v>233</v>
      </c>
      <c r="C87" s="233" t="s">
        <v>273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4823223</v>
      </c>
      <c r="D91" s="206"/>
      <c r="E91" s="248">
        <f>C91</f>
        <v>4823223</v>
      </c>
      <c r="F91" s="248">
        <f>C91</f>
        <v>4823223</v>
      </c>
    </row>
    <row r="92" spans="2:8" ht="13.9" x14ac:dyDescent="0.4">
      <c r="B92" s="104" t="s">
        <v>103</v>
      </c>
      <c r="C92" s="77">
        <f>C26</f>
        <v>3372942</v>
      </c>
      <c r="D92" s="158">
        <f>C92/C91</f>
        <v>0.69931288683936033</v>
      </c>
      <c r="E92" s="249">
        <f>E91*D92</f>
        <v>3372942</v>
      </c>
      <c r="F92" s="249">
        <f>F91*D92</f>
        <v>3372942</v>
      </c>
    </row>
    <row r="93" spans="2:8" ht="13.9" x14ac:dyDescent="0.4">
      <c r="B93" s="104" t="s">
        <v>232</v>
      </c>
      <c r="C93" s="77">
        <f>C27+C28</f>
        <v>1070762</v>
      </c>
      <c r="D93" s="158">
        <f>C93/C91</f>
        <v>0.22200134640260258</v>
      </c>
      <c r="E93" s="249">
        <f>E91*D93</f>
        <v>1070762</v>
      </c>
      <c r="F93" s="249">
        <f>F91*D93</f>
        <v>1070762</v>
      </c>
    </row>
    <row r="94" spans="2:8" ht="13.9" x14ac:dyDescent="0.4">
      <c r="B94" s="104" t="s">
        <v>240</v>
      </c>
      <c r="C94" s="77">
        <f>C29</f>
        <v>10228</v>
      </c>
      <c r="D94" s="158">
        <f>C94/C91</f>
        <v>2.1205737325435711E-3</v>
      </c>
      <c r="E94" s="250"/>
      <c r="F94" s="249">
        <f>F91*D94</f>
        <v>10228</v>
      </c>
    </row>
    <row r="95" spans="2:8" ht="13.9" x14ac:dyDescent="0.4">
      <c r="B95" s="28" t="s">
        <v>231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1.21E-2</v>
      </c>
      <c r="D98" s="263"/>
      <c r="E98" s="251">
        <f>F98</f>
        <v>1.21E-2</v>
      </c>
      <c r="F98" s="251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0887.HK</v>
      </c>
      <c r="D3" s="290"/>
      <c r="E3" s="87"/>
      <c r="F3" s="3" t="s">
        <v>1</v>
      </c>
      <c r="G3" s="131">
        <v>0.16300000000000001</v>
      </c>
      <c r="H3" s="133" t="s">
        <v>274</v>
      </c>
    </row>
    <row r="4" spans="1:10" ht="15.75" customHeight="1" x14ac:dyDescent="0.4">
      <c r="B4" s="35" t="s">
        <v>182</v>
      </c>
      <c r="C4" s="291" t="str">
        <f>Inputs!C5</f>
        <v>英皇鐘錶珠寶</v>
      </c>
      <c r="D4" s="292"/>
      <c r="E4" s="87"/>
      <c r="F4" s="3" t="s">
        <v>3</v>
      </c>
      <c r="G4" s="295">
        <f>Inputs!C10</f>
        <v>6779458129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1105.0516750269999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7.868576675803711E-2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2.1205737325435711E-3</v>
      </c>
      <c r="F24" s="139" t="s">
        <v>242</v>
      </c>
      <c r="G24" s="265">
        <f>G3/(Fin_Analysis!H86*G7)</f>
        <v>3.9898135437076276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0.29617634281510608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7.423312883435583E-2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0.12065798021269351</v>
      </c>
      <c r="D29" s="128">
        <f>G29*(1+G20)</f>
        <v>0.22281740621634208</v>
      </c>
      <c r="E29" s="87"/>
      <c r="F29" s="130">
        <f>IF(Fin_Analysis!C108="Profit",Fin_Analysis!F100,IF(Fin_Analysis!C108="Dividend",Fin_Analysis!F103,Fin_Analysis!F106))</f>
        <v>0.14195056495611003</v>
      </c>
      <c r="G29" s="286">
        <f>IF(Fin_Analysis!C108="Profit",Fin_Analysis!I100,IF(Fin_Analysis!C108="Dividend",Fin_Analysis!I103,Fin_Analysis!I106))</f>
        <v>0.19375426627508008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4823223</v>
      </c>
      <c r="D6" s="199">
        <f>IF(Inputs!D25="","",Inputs!D25)</f>
        <v>3684261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3372942</v>
      </c>
      <c r="D8" s="198">
        <f>IF(Inputs!D26="","",Inputs!D26)</f>
        <v>2506999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1450281</v>
      </c>
      <c r="D9" s="150">
        <f t="shared" si="2"/>
        <v>1177262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1070762</v>
      </c>
      <c r="D10" s="198">
        <f>IF(Inputs!D27="","",Inputs!D27)</f>
        <v>881682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7.868576675803711E-2</v>
      </c>
      <c r="D13" s="226">
        <f t="shared" si="3"/>
        <v>8.0227758022572232E-2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379519</v>
      </c>
      <c r="D14" s="227">
        <f t="shared" ref="D14:M14" si="4">IF(D6="","",D9-D10-MAX(D11,0)-MAX(D12,0))</f>
        <v>295580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0.28398064821706476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10228</v>
      </c>
      <c r="D17" s="198">
        <f>IF(Inputs!D29="","",Inputs!D29)</f>
        <v>6896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369291</v>
      </c>
      <c r="D22" s="160">
        <f t="shared" ref="D22:M22" si="8">IF(D6="","",D14-MAX(D16,0)-MAX(D17,0)-ABS(MAX(D21,0)-MAX(D19,0)))</f>
        <v>288684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5.7423894769120153E-2</v>
      </c>
      <c r="D23" s="152">
        <f t="shared" si="9"/>
        <v>5.8767009177688553E-2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0.27922226379016502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0.69931288683936033</v>
      </c>
      <c r="D40" s="155">
        <f t="shared" si="34"/>
        <v>0.6804618348157202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0.22200134640260258</v>
      </c>
      <c r="D41" s="152">
        <f t="shared" si="35"/>
        <v>0.23931040716170759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2.1205737325435711E-3</v>
      </c>
      <c r="D43" s="152">
        <f t="shared" si="37"/>
        <v>1.8717457856541652E-3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7.6565193025493528E-2</v>
      </c>
      <c r="D46" s="152">
        <f t="shared" si="40"/>
        <v>7.8356012236918071E-2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2.7696315371888294E-2</v>
      </c>
      <c r="D55" s="152">
        <f t="shared" si="47"/>
        <v>2.3887711130509484E-2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4823223</v>
      </c>
      <c r="D74" s="206"/>
      <c r="E74" s="235">
        <f>Inputs!E91</f>
        <v>4823223</v>
      </c>
      <c r="F74" s="206"/>
      <c r="H74" s="235">
        <f>Inputs!F91</f>
        <v>4823223</v>
      </c>
      <c r="I74" s="206"/>
      <c r="K74" s="24"/>
    </row>
    <row r="75" spans="1:11" ht="15" customHeight="1" x14ac:dyDescent="0.4">
      <c r="B75" s="104" t="s">
        <v>103</v>
      </c>
      <c r="C75" s="77">
        <f>Data!C8</f>
        <v>3372942</v>
      </c>
      <c r="D75" s="158">
        <f>C75/$C$74</f>
        <v>0.69931288683936033</v>
      </c>
      <c r="E75" s="235">
        <f>Inputs!E92</f>
        <v>3372942</v>
      </c>
      <c r="F75" s="159">
        <f>E75/E74</f>
        <v>0.69931288683936033</v>
      </c>
      <c r="H75" s="235">
        <f>Inputs!F92</f>
        <v>3372942</v>
      </c>
      <c r="I75" s="159">
        <f>H75/$H$74</f>
        <v>0.69931288683936033</v>
      </c>
      <c r="K75" s="24"/>
    </row>
    <row r="76" spans="1:11" ht="15" customHeight="1" x14ac:dyDescent="0.4">
      <c r="B76" s="35" t="s">
        <v>93</v>
      </c>
      <c r="C76" s="160">
        <f>C74-C75</f>
        <v>1450281</v>
      </c>
      <c r="D76" s="207"/>
      <c r="E76" s="161">
        <f>E74-E75</f>
        <v>1450281</v>
      </c>
      <c r="F76" s="207"/>
      <c r="H76" s="161">
        <f>H74-H75</f>
        <v>1450281</v>
      </c>
      <c r="I76" s="207"/>
      <c r="K76" s="24"/>
    </row>
    <row r="77" spans="1:11" ht="15" customHeight="1" x14ac:dyDescent="0.4">
      <c r="B77" s="104" t="s">
        <v>232</v>
      </c>
      <c r="C77" s="77">
        <f>Data!C10+MAX(Data!C11,0)</f>
        <v>1070762</v>
      </c>
      <c r="D77" s="158">
        <f>C77/$C$74</f>
        <v>0.22200134640260258</v>
      </c>
      <c r="E77" s="235">
        <f>Inputs!E93</f>
        <v>1070762</v>
      </c>
      <c r="F77" s="159">
        <f>E77/E74</f>
        <v>0.22200134640260258</v>
      </c>
      <c r="H77" s="235">
        <f>Inputs!F93</f>
        <v>1070762</v>
      </c>
      <c r="I77" s="159">
        <f>H77/$H$74</f>
        <v>0.22200134640260258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379519</v>
      </c>
      <c r="D79" s="255">
        <f>C79/C74</f>
        <v>7.868576675803711E-2</v>
      </c>
      <c r="E79" s="256">
        <f>E76-E77-E78</f>
        <v>379519</v>
      </c>
      <c r="F79" s="255">
        <f>E79/E74</f>
        <v>7.868576675803711E-2</v>
      </c>
      <c r="G79" s="257"/>
      <c r="H79" s="256">
        <f>H76-H77-H78</f>
        <v>379519</v>
      </c>
      <c r="I79" s="255">
        <f>H79/H74</f>
        <v>7.868576675803711E-2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10228</v>
      </c>
      <c r="D81" s="158">
        <f>C81/$C$74</f>
        <v>2.1205737325435711E-3</v>
      </c>
      <c r="E81" s="179">
        <f>E74*F81</f>
        <v>10228</v>
      </c>
      <c r="F81" s="159">
        <f>I81</f>
        <v>2.1205737325435711E-3</v>
      </c>
      <c r="H81" s="235">
        <f>Inputs!F94</f>
        <v>10228</v>
      </c>
      <c r="I81" s="159">
        <f>H81/$H$74</f>
        <v>2.1205737325435711E-3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369291</v>
      </c>
      <c r="D83" s="163">
        <f>C83/$C$74</f>
        <v>7.6565193025493528E-2</v>
      </c>
      <c r="E83" s="164">
        <f>E79-E81-E82-E80</f>
        <v>369291</v>
      </c>
      <c r="F83" s="163">
        <f>E83/E74</f>
        <v>7.6565193025493528E-2</v>
      </c>
      <c r="H83" s="164">
        <f>H79-H81-H82-H80</f>
        <v>369291</v>
      </c>
      <c r="I83" s="163">
        <f>H83/$H$74</f>
        <v>7.6565193025493528E-2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276968.25</v>
      </c>
      <c r="D85" s="255">
        <f>C85/$C$74</f>
        <v>5.7423894769120153E-2</v>
      </c>
      <c r="E85" s="261">
        <f>E83*(1-F84)</f>
        <v>276968.25</v>
      </c>
      <c r="F85" s="255">
        <f>E85/E74</f>
        <v>5.7423894769120153E-2</v>
      </c>
      <c r="G85" s="257"/>
      <c r="H85" s="261">
        <f>H83*(1-I84)</f>
        <v>276968.25</v>
      </c>
      <c r="I85" s="255">
        <f>H85/$H$74</f>
        <v>5.7423894769120153E-2</v>
      </c>
      <c r="K85" s="24"/>
    </row>
    <row r="86" spans="1:11" ht="15" customHeight="1" x14ac:dyDescent="0.4">
      <c r="B86" s="87" t="s">
        <v>153</v>
      </c>
      <c r="C86" s="166">
        <f>C85*Data!C4/Common_Shares</f>
        <v>4.0854039471861746E-2</v>
      </c>
      <c r="D86" s="206"/>
      <c r="E86" s="167">
        <f>E85*Data!C4/Common_Shares</f>
        <v>4.0854039471861746E-2</v>
      </c>
      <c r="F86" s="206"/>
      <c r="H86" s="167">
        <f>H85*Data!C4/Common_Shares</f>
        <v>4.0854039471861746E-2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0.25063827896847696</v>
      </c>
      <c r="D87" s="206"/>
      <c r="E87" s="259">
        <f>E86*Exchange_Rate/Dashboard!G3</f>
        <v>0.25063827896847696</v>
      </c>
      <c r="F87" s="206"/>
      <c r="H87" s="259">
        <f>H86*Exchange_Rate/Dashboard!G3</f>
        <v>0.25063827896847696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1.21E-2</v>
      </c>
      <c r="D88" s="165">
        <f>C88/C86</f>
        <v>0.29617634281510608</v>
      </c>
      <c r="E88" s="169">
        <f>Inputs!E98</f>
        <v>1.21E-2</v>
      </c>
      <c r="F88" s="165">
        <f>E88/E86</f>
        <v>0.29617634281510608</v>
      </c>
      <c r="H88" s="169">
        <f>Inputs!F98</f>
        <v>1.21E-2</v>
      </c>
      <c r="I88" s="165">
        <f>H88/H86</f>
        <v>0.29617634281510608</v>
      </c>
      <c r="K88" s="24"/>
    </row>
    <row r="89" spans="1:11" ht="15" customHeight="1" x14ac:dyDescent="0.4">
      <c r="B89" s="87" t="s">
        <v>207</v>
      </c>
      <c r="C89" s="258">
        <f>C88*Exchange_Rate/Dashboard!G3</f>
        <v>7.423312883435583E-2</v>
      </c>
      <c r="D89" s="206"/>
      <c r="E89" s="258">
        <f>E88*Exchange_Rate/Dashboard!G3</f>
        <v>7.423312883435583E-2</v>
      </c>
      <c r="F89" s="206"/>
      <c r="H89" s="258">
        <f>H88*Exchange_Rate/Dashboard!G3</f>
        <v>7.423312883435583E-2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2.0617777033744722</v>
      </c>
      <c r="H93" s="87" t="s">
        <v>196</v>
      </c>
      <c r="I93" s="143">
        <f>FV(H87,D93,0,-(H86/(C93-D94)))*Exchange_Rate</f>
        <v>2.0617777033744722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0.28551328909415741</v>
      </c>
      <c r="H94" s="87" t="s">
        <v>197</v>
      </c>
      <c r="I94" s="143">
        <f>FV(H89,D93,0,-(H88/(C93-D94)))*Exchange_Rate</f>
        <v>0.28551328909415741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6949404.9581051953</v>
      </c>
      <c r="D97" s="210"/>
      <c r="E97" s="122">
        <f>PV(C94,D93,0,-F93)</f>
        <v>1.0250679074745259</v>
      </c>
      <c r="F97" s="210"/>
      <c r="H97" s="122">
        <f>PV(C94,D93,0,-I93)</f>
        <v>1.0250679074745259</v>
      </c>
      <c r="I97" s="122">
        <f>PV(C93,D93,0,-I93)</f>
        <v>1.3991580826484733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6949404.9581051953</v>
      </c>
      <c r="D100" s="109">
        <f>MIN(F100*(1-C94),E100)</f>
        <v>0.871307721353347</v>
      </c>
      <c r="E100" s="109">
        <f>MAX(E97+H98+E99,0)</f>
        <v>1.0250679074745259</v>
      </c>
      <c r="F100" s="109">
        <f>(E100+H100)/2</f>
        <v>1.0250679074745259</v>
      </c>
      <c r="H100" s="109">
        <f>MAX(C100*Data!$C$4/Common_Shares,0)</f>
        <v>1.0250679074745259</v>
      </c>
      <c r="I100" s="109">
        <f>MAX(I97+H98+H99,0)</f>
        <v>1.3991580826484733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962347.91150784271</v>
      </c>
      <c r="D103" s="109">
        <f>MIN(F103*(1-C94),E103)</f>
        <v>0.12065798021269351</v>
      </c>
      <c r="E103" s="122">
        <f>PV(C94,D93,0,-F94)</f>
        <v>0.14195056495611003</v>
      </c>
      <c r="F103" s="109">
        <f>(E103+H103)/2</f>
        <v>0.14195056495611003</v>
      </c>
      <c r="H103" s="122">
        <f>PV(C94,D93,0,-I94)</f>
        <v>0.14195056495611003</v>
      </c>
      <c r="I103" s="109">
        <f>PV(C93,D93,0,-I94)</f>
        <v>0.19375426627508008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3955876.4348065192</v>
      </c>
      <c r="D106" s="109">
        <f>(D100+D103)/2</f>
        <v>0.49598285078302023</v>
      </c>
      <c r="E106" s="122">
        <f>(E100+E103)/2</f>
        <v>0.58350923621531803</v>
      </c>
      <c r="F106" s="109">
        <f>(F100+F103)/2</f>
        <v>0.58350923621531803</v>
      </c>
      <c r="H106" s="122">
        <f>(H100+H103)/2</f>
        <v>0.58350923621531803</v>
      </c>
      <c r="I106" s="122">
        <f>(I100+I103)/2</f>
        <v>0.79645617446177663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