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43AF66BA-2DCD-434C-B784-CD25CE3771E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K34" i="2"/>
  <c r="K27" i="2" s="1"/>
  <c r="L34" i="2"/>
  <c r="L27" i="2" s="1"/>
  <c r="M34" i="2"/>
  <c r="M27" i="2" s="1"/>
  <c r="D34" i="2"/>
  <c r="D30" i="2"/>
  <c r="J27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D53" i="4"/>
  <c r="D27" i="2"/>
  <c r="D37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1" i="1" s="1"/>
  <c r="C20" i="1" s="1"/>
  <c r="C58" i="2"/>
  <c r="C59" i="2"/>
  <c r="D52" i="3"/>
  <c r="C98" i="3"/>
  <c r="D6" i="3"/>
  <c r="D53" i="3"/>
  <c r="C57" i="2" l="1"/>
  <c r="D7" i="3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<sst xmlns="http://schemas.openxmlformats.org/spreadsheetml/2006/main" count="392" uniqueCount="275">
  <si>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</si>
  <si>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</si>
  <si>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</si>
  <si>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</si>
  <si>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</si>
  <si>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</si>
  <si>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</si>
  <si>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</si>
  <si>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</si>
  <si>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</si>
  <si>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</si>
  <si>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</si>
  <si>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</si>
  <si>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</si>
  <si>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</si>
  <si>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</si>
  <si>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</si>
  <si>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</si>
  <si>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</si>
  <si>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</si>
  <si>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</si>
  <si>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</si>
  <si>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</si>
  <si>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</si>
  <si>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</si>
  <si>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</si>
  <si>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</si>
  <si>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</si>
  <si>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</si>
  <si>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</si>
  <si>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</si>
  <si>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</si>
  <si>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</si>
  <si>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</si>
  <si>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</si>
  <si>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</si>
  <si>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</si>
  <si>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</si>
  <si>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</si>
  <si>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</si>
  <si>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</si>
  <si>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</si>
  <si>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</si>
  <si>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</si>
  <si>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</si>
  <si>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</si>
  <si>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</si>
  <si>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</si>
  <si>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</si>
  <si>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</si>
  <si>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</si>
  <si>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</si>
  <si>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</si>
  <si>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</si>
  <si>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</si>
  <si>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</si>
  <si>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</si>
  <si>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</si>
  <si>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</si>
  <si>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</si>
  <si>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</si>
  <si>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</si>
  <si>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</si>
  <si>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</si>
  <si>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</si>
  <si>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</si>
  <si>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</si>
  <si>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</si>
  <si>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</si>
  <si>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</si>
  <si>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</si>
  <si>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</si>
  <si>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</si>
  <si>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</si>
  <si>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</si>
  <si>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</si>
  <si>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</si>
  <si>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</si>
  <si>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</si>
  <si>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</si>
  <si>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</si>
  <si>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</si>
  <si>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</si>
  <si>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</si>
  <si>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</si>
  <si>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</si>
  <si>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</si>
  <si>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</si>
  <si>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</si>
  <si>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</si>
  <si>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</si>
  <si>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</si>
  <si>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</si>
  <si>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</si>
  <si>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</si>
  <si>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</si>
  <si>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</si>
  <si>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</si>
  <si>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</si>
  <si>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</si>
  <si>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</si>
  <si>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</si>
  <si>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</si>
  <si>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</si>
  <si>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</si>
  <si>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</si>
  <si>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</si>
  <si>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</si>
  <si>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</si>
  <si>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</si>
  <si>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</si>
  <si>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</si>
  <si>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</si>
  <si>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</si>
  <si>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</si>
  <si>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</si>
  <si>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</si>
  <si>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</si>
  <si>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</si>
  <si>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</si>
  <si>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</si>
  <si>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</si>
  <si>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</si>
  <si>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</si>
  <si>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</si>
  <si>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</si>
  <si>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</si>
  <si>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</si>
  <si>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</si>
  <si>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</si>
  <si>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</si>
  <si>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</si>
  <si>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</si>
  <si>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</si>
  <si>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</si>
  <si>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</si>
  <si>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</si>
  <si>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</si>
  <si>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</si>
  <si>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</si>
  <si>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</si>
  <si>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</si>
  <si>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</si>
  <si>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</si>
  <si>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</si>
  <si>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</si>
  <si>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</si>
  <si>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</si>
  <si>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</si>
  <si>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</si>
  <si>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</si>
  <si>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</si>
  <si>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</si>
  <si>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</si>
  <si>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</si>
  <si>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</si>
  <si>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</si>
  <si>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</si>
  <si>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</si>
  <si>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</si>
  <si>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</si>
  <si>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</si>
  <si>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</si>
  <si>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</si>
  <si>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</si>
  <si>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</si>
  <si>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</si>
  <si>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</si>
  <si>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</si>
  <si>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</si>
  <si>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</si>
  <si>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</si>
  <si>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</si>
  <si>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</si>
  <si>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</si>
  <si>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</si>
  <si>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</si>
  <si>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</si>
  <si>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</si>
  <si>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</si>
  <si>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</si>
  <si>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</si>
  <si>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</si>
  <si>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</si>
  <si>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</si>
  <si>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</si>
  <si>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</si>
  <si>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</si>
  <si>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</si>
  <si>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</si>
  <si>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</si>
  <si>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</si>
  <si>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</si>
  <si>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</si>
  <si>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</si>
  <si>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</si>
  <si>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</si>
  <si>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</si>
  <si>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</si>
  <si>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</si>
  <si>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</si>
  <si>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</si>
  <si>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</si>
  <si>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</si>
  <si>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</si>
  <si>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</si>
  <si>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</si>
  <si>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</si>
  <si>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</si>
  <si>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</si>
  <si>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</si>
  <si>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</si>
  <si>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</si>
  <si>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</si>
  <si>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</si>
  <si>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</si>
  <si>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</si>
  <si>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</si>
  <si>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</si>
  <si>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</si>
  <si>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</si>
  <si>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</si>
  <si>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</si>
  <si>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</si>
  <si>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</si>
  <si>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</si>
  <si>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</si>
  <si>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</si>
  <si>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</si>
  <si>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</si>
  <si>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</si>
  <si>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</si>
  <si>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</si>
  <si>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</si>
  <si>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</si>
  <si>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</si>
  <si>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</si>
  <si>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</si>
  <si>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</si>
  <si>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</si>
  <si>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</si>
  <si>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</si>
  <si>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</si>
  <si>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</si>
  <si>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</si>
  <si>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</si>
  <si>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</si>
  <si>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</si>
  <si>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</si>
  <si>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</si>
  <si>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</si>
  <si>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</si>
  <si>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</si>
  <si>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</si>
  <si>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</si>
  <si>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</si>
  <si>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</si>
  <si>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</si>
  <si>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</si>
  <si>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</si>
  <si>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</si>
  <si>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</si>
  <si>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</si>
  <si>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</si>
  <si>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</si>
  <si>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</si>
  <si>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0941.HK</t>
  </si>
  <si>
    <t>中国移动</t>
  </si>
  <si>
    <t>Tier 3</t>
  </si>
  <si>
    <t>C0010</t>
  </si>
  <si>
    <t>CNY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</si>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</sst>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266</v>
      </c>
    </row>
    <row r="5" spans="1:5" ht="13.9" x14ac:dyDescent="0.4">
      <c r="B5" s="140" t="s">
        <v>181</v>
      </c>
      <c r="C5" s="190" t="s">
        <v>267</v>
      </c>
    </row>
    <row r="6" spans="1:5" ht="13.9" x14ac:dyDescent="0.4">
      <c r="B6" s="140" t="s">
        <v>155</v>
      </c>
      <c r="C6" s="188">
        <v>45603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268</v>
      </c>
      <c r="E8" s="264"/>
    </row>
    <row r="9" spans="1:5" ht="13.9" x14ac:dyDescent="0.4">
      <c r="B9" s="139" t="s">
        <v>202</v>
      </c>
      <c r="C9" s="191" t="s">
        <v>269</v>
      </c>
    </row>
    <row r="10" spans="1:5" ht="13.9" x14ac:dyDescent="0.4">
      <c r="B10" s="139" t="s">
        <v>203</v>
      </c>
      <c r="C10" s="192">
        <v>21481669957</v>
      </c>
    </row>
    <row r="11" spans="1:5" ht="13.9" x14ac:dyDescent="0.4">
      <c r="B11" s="139" t="s">
        <v>204</v>
      </c>
      <c r="C11" s="191" t="s">
        <v>270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236</v>
      </c>
      <c r="C15" s="175" t="s">
        <v>240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271</v>
      </c>
      <c r="D17" s="24"/>
    </row>
    <row r="18" spans="2:13" ht="13.9" x14ac:dyDescent="0.4">
      <c r="B18" s="237" t="s">
        <v>223</v>
      </c>
      <c r="C18" s="239" t="s">
        <v>271</v>
      </c>
      <c r="D18" s="24"/>
    </row>
    <row r="19" spans="2:13" ht="13.9" x14ac:dyDescent="0.4">
      <c r="B19" s="237" t="s">
        <v>224</v>
      </c>
      <c r="C19" s="239" t="s">
        <v>271</v>
      </c>
      <c r="D19" s="24"/>
    </row>
    <row r="20" spans="2:13" ht="13.9" x14ac:dyDescent="0.4">
      <c r="B20" s="238" t="s">
        <v>213</v>
      </c>
      <c r="C20" s="239" t="s">
        <v>271</v>
      </c>
      <c r="D20" s="24"/>
    </row>
    <row r="21" spans="2:13" ht="13.9" x14ac:dyDescent="0.4">
      <c r="B21" s="221" t="s">
        <v>216</v>
      </c>
      <c r="C21" s="239" t="s">
        <v>271</v>
      </c>
      <c r="D21" s="24"/>
    </row>
    <row r="22" spans="2:13" ht="78.75" x14ac:dyDescent="0.4">
      <c r="B22" s="223" t="s">
        <v>215</v>
      </c>
      <c r="C22" s="240" t="s">
        <v>272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1009309</v>
      </c>
      <c r="D25" s="148">
        <v>937259</v>
      </c>
      <c r="E25" s="148"/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0</v>
      </c>
      <c r="D26" s="149">
        <v>0</v>
      </c>
      <c r="E26" s="149"/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v>874963</v>
      </c>
      <c r="D27" s="149">
        <v>808160</v>
      </c>
      <c r="E27" s="149"/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237</v>
      </c>
      <c r="C29" s="149">
        <v>3730</v>
      </c>
      <c r="D29" s="149">
        <v>2330</v>
      </c>
      <c r="E29" s="149"/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169</v>
      </c>
      <c r="D30" s="149">
        <v>135</v>
      </c>
      <c r="E30" s="149"/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>
        <v>22422</v>
      </c>
      <c r="D31" s="149">
        <v>22811</v>
      </c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>
        <v>207132</v>
      </c>
      <c r="D32" s="149">
        <v>200077</v>
      </c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>
        <v>181263</v>
      </c>
      <c r="D33" s="149">
        <v>189588</v>
      </c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261</v>
      </c>
      <c r="C34" s="214"/>
      <c r="D34" s="149">
        <v>498104</v>
      </c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>
        <v>68428</v>
      </c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>
        <v>12026</v>
      </c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259</v>
      </c>
      <c r="C37" s="149">
        <v>637738</v>
      </c>
      <c r="D37" s="149">
        <v>558565</v>
      </c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260</v>
      </c>
      <c r="C38" s="214"/>
      <c r="D38" s="149">
        <v>88107</v>
      </c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>
        <v>35175</v>
      </c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>
        <v>67759</v>
      </c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>
        <v>1383869</v>
      </c>
      <c r="D41" s="149">
        <v>1345985</v>
      </c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>
        <v>4325</v>
      </c>
      <c r="D42" s="149">
        <v>4253</v>
      </c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>
        <v>795161</v>
      </c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>
        <f>2.175+2.373</f>
        <v>4.548</v>
      </c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233</v>
      </c>
      <c r="C45" s="151">
        <f>IF(C44="","",C44*Exchange_Rate/Dashboard!$G$3)</f>
        <v>6.469141397590486E-2</v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231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>
        <v>172891</v>
      </c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38</v>
      </c>
      <c r="C51" s="59">
        <v>176336</v>
      </c>
      <c r="D51" s="60">
        <v>0.6</v>
      </c>
      <c r="E51" s="112"/>
    </row>
    <row r="52" spans="2:5" ht="13.9" x14ac:dyDescent="0.4">
      <c r="B52" s="3" t="s">
        <v>40</v>
      </c>
      <c r="C52" s="59">
        <v>19344</v>
      </c>
      <c r="D52" s="60">
        <v>0.5</v>
      </c>
      <c r="E52" s="112"/>
    </row>
    <row r="53" spans="2:5" ht="13.9" x14ac:dyDescent="0.4">
      <c r="B53" s="1" t="s">
        <v>150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242</v>
      </c>
      <c r="C54" s="59">
        <v>28822</v>
      </c>
      <c r="D54" s="60">
        <v>0.1</v>
      </c>
      <c r="E54" s="112"/>
    </row>
    <row r="55" spans="2:5" ht="13.9" x14ac:dyDescent="0.4">
      <c r="B55" s="3" t="s">
        <v>43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59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61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241</v>
      </c>
      <c r="C64" s="59"/>
      <c r="D64" s="60">
        <v>0.4</v>
      </c>
      <c r="E64" s="112"/>
    </row>
    <row r="65" spans="2:5" ht="13.9" x14ac:dyDescent="0.4">
      <c r="B65" s="3" t="s">
        <v>66</v>
      </c>
      <c r="C65" s="59">
        <v>185013</v>
      </c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>
        <v>94862</v>
      </c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>
        <v>34291</v>
      </c>
      <c r="D70" s="60">
        <v>0.05</v>
      </c>
      <c r="E70" s="112"/>
    </row>
    <row r="71" spans="2:5" ht="13.9" x14ac:dyDescent="0.4">
      <c r="B71" s="3" t="s">
        <v>71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3" t="s">
        <v>72</v>
      </c>
      <c r="C72" s="244">
        <v>79740</v>
      </c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>
        <v>33448</v>
      </c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>
        <v>62222</v>
      </c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264</v>
      </c>
      <c r="C82" s="214">
        <v>83483</v>
      </c>
    </row>
    <row r="83" spans="2:8" ht="14.25" hidden="1" thickTop="1" x14ac:dyDescent="0.4">
      <c r="B83" s="73" t="s">
        <v>265</v>
      </c>
      <c r="C83" s="214">
        <v>1379544</v>
      </c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232</v>
      </c>
      <c r="C86" s="196">
        <v>5</v>
      </c>
    </row>
    <row r="87" spans="2:8" ht="13.9" x14ac:dyDescent="0.4">
      <c r="B87" s="10" t="s">
        <v>230</v>
      </c>
      <c r="C87" s="233" t="s">
        <v>273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1009309</v>
      </c>
      <c r="D91" s="206"/>
      <c r="E91" s="248">
        <f>C91</f>
        <v>1009309</v>
      </c>
      <c r="F91" s="248">
        <f>C91</f>
        <v>1009309</v>
      </c>
    </row>
    <row r="92" spans="2:8" ht="13.9" x14ac:dyDescent="0.4">
      <c r="B92" s="104" t="s">
        <v>102</v>
      </c>
      <c r="C92" s="77">
        <f>C26</f>
        <v>0</v>
      </c>
      <c r="D92" s="158">
        <f>C92/C91</f>
        <v>0</v>
      </c>
      <c r="E92" s="249">
        <f>E91*D92</f>
        <v>0</v>
      </c>
      <c r="F92" s="249">
        <f>F91*D92</f>
        <v>0</v>
      </c>
    </row>
    <row r="93" spans="2:8" ht="13.9" x14ac:dyDescent="0.4">
      <c r="B93" s="104" t="s">
        <v>229</v>
      </c>
      <c r="C93" s="77">
        <f>C27+C28</f>
        <v>874963</v>
      </c>
      <c r="D93" s="158">
        <f>C93/C91</f>
        <v>0.8668930922046667</v>
      </c>
      <c r="E93" s="249">
        <f>E91*D93</f>
        <v>874963</v>
      </c>
      <c r="F93" s="249">
        <f>F91*D93</f>
        <v>874963</v>
      </c>
    </row>
    <row r="94" spans="2:8" ht="13.9" x14ac:dyDescent="0.4">
      <c r="B94" s="104" t="s">
        <v>237</v>
      </c>
      <c r="C94" s="77">
        <f>C29</f>
        <v>3730</v>
      </c>
      <c r="D94" s="158">
        <f>C94/C91</f>
        <v>3.6955976811858409E-3</v>
      </c>
      <c r="E94" s="250"/>
      <c r="F94" s="249">
        <f>F91*D94</f>
        <v>3730</v>
      </c>
    </row>
    <row r="95" spans="2:8" ht="13.9" x14ac:dyDescent="0.4">
      <c r="B95" s="28" t="s">
        <v>228</v>
      </c>
      <c r="C95" s="77">
        <f>ABS(MAX(C33,0)-C32)</f>
        <v>25869</v>
      </c>
      <c r="D95" s="158">
        <f>C95/C91</f>
        <v>2.5630406545468234E-2</v>
      </c>
      <c r="E95" s="249">
        <f>E91*D95</f>
        <v>25869</v>
      </c>
      <c r="F95" s="249">
        <f>F91*D95</f>
        <v>25869</v>
      </c>
    </row>
    <row r="96" spans="2:8" ht="13.9" x14ac:dyDescent="0.4">
      <c r="B96" s="28" t="s">
        <v>106</v>
      </c>
      <c r="C96" s="77">
        <f>MAX(C31,0)</f>
        <v>22422</v>
      </c>
      <c r="D96" s="158">
        <f>C96/C91</f>
        <v>2.2215198715160572E-2</v>
      </c>
      <c r="E96" s="250"/>
      <c r="F96" s="249">
        <f>F91*D96</f>
        <v>22422</v>
      </c>
    </row>
    <row r="97" spans="2:7" ht="13.9" x14ac:dyDescent="0.4">
      <c r="B97" s="73" t="s">
        <v>161</v>
      </c>
      <c r="C97" s="77">
        <f>MAX(C30,0)/(1-C16)</f>
        <v>225.33333333333334</v>
      </c>
      <c r="D97" s="158">
        <f>C97/C91</f>
        <v>2.2325505205376484E-4</v>
      </c>
      <c r="E97" s="250"/>
      <c r="F97" s="249">
        <f>F91*D97</f>
        <v>225.33333333333334</v>
      </c>
    </row>
    <row r="98" spans="2:7" ht="13.9" x14ac:dyDescent="0.4">
      <c r="B98" s="86" t="s">
        <v>193</v>
      </c>
      <c r="C98" s="234">
        <f>C44</f>
        <v>4.548</v>
      </c>
      <c r="D98" s="263"/>
      <c r="E98" s="251">
        <f>F98</f>
        <v>4.548</v>
      </c>
      <c r="F98" s="251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0941.HK</v>
      </c>
      <c r="D3" s="290"/>
      <c r="E3" s="87"/>
      <c r="F3" s="3" t="s">
        <v>1</v>
      </c>
      <c r="G3" s="131">
        <v>75.099999999999994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中国移动</v>
      </c>
      <c r="D4" s="292"/>
      <c r="E4" s="87"/>
      <c r="F4" s="3" t="s">
        <v>2</v>
      </c>
      <c r="G4" s="295">
        <f>Inputs!C10</f>
        <v>21481669957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45603</v>
      </c>
      <c r="D5" s="294"/>
      <c r="E5" s="34"/>
      <c r="F5" s="35" t="s">
        <v>96</v>
      </c>
      <c r="G5" s="287">
        <f>G3*G4/1000000</f>
        <v>1613273.4137706999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>Tier 3</v>
      </c>
      <c r="D7" s="186" t="str">
        <f>Inputs!C9</f>
        <v>C0010</v>
      </c>
      <c r="E7" s="87"/>
      <c r="F7" s="35" t="s">
        <v>5</v>
      </c>
      <c r="G7" s="132">
        <v>1.0682333310445149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234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235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258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249</v>
      </c>
      <c r="C20" s="273">
        <f>C23*C22*(1/C21)</f>
        <v>9.7221014093545888E-2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247</v>
      </c>
      <c r="C21" s="275">
        <f>Data!C53</f>
        <v>0.68239969489618901</v>
      </c>
      <c r="F21" s="87"/>
      <c r="G21" s="29"/>
    </row>
    <row r="22" spans="1:8" ht="15.75" customHeight="1" x14ac:dyDescent="0.4">
      <c r="B22" s="276" t="s">
        <v>262</v>
      </c>
      <c r="C22" s="277">
        <f>Data!C48</f>
        <v>0.49926073663179837</v>
      </c>
      <c r="F22" s="141" t="s">
        <v>171</v>
      </c>
    </row>
    <row r="23" spans="1:8" ht="15.75" customHeight="1" thickBot="1" x14ac:dyDescent="0.45">
      <c r="B23" s="278" t="s">
        <v>254</v>
      </c>
      <c r="C23" s="279">
        <f>Data!C13</f>
        <v>0.13288365274327946</v>
      </c>
      <c r="F23" s="139" t="s">
        <v>175</v>
      </c>
      <c r="G23" s="176">
        <f>G3/(Data!C34*Data!C4/Common_Shares*Exchange_Rate)</f>
        <v>1.0913068250508218</v>
      </c>
    </row>
    <row r="24" spans="1:8" ht="15.75" customHeight="1" x14ac:dyDescent="0.4">
      <c r="B24" s="136" t="s">
        <v>255</v>
      </c>
      <c r="C24" s="170">
        <f>Fin_Analysis!I81</f>
        <v>3.6955976811858409E-3</v>
      </c>
      <c r="F24" s="139" t="s">
        <v>239</v>
      </c>
      <c r="G24" s="265">
        <f>G3/(Fin_Analysis!H86*G7)</f>
        <v>24.526704285056066</v>
      </c>
    </row>
    <row r="25" spans="1:8" ht="15.75" customHeight="1" x14ac:dyDescent="0.4">
      <c r="B25" s="136" t="s">
        <v>256</v>
      </c>
      <c r="C25" s="170">
        <f>Fin_Analysis!I80</f>
        <v>2.2215198715160572E-2</v>
      </c>
      <c r="F25" s="139" t="s">
        <v>162</v>
      </c>
      <c r="G25" s="170">
        <f>Fin_Analysis!I88</f>
        <v>1.5866671803691612</v>
      </c>
    </row>
    <row r="26" spans="1:8" ht="15.75" customHeight="1" x14ac:dyDescent="0.4">
      <c r="B26" s="137" t="s">
        <v>257</v>
      </c>
      <c r="C26" s="170">
        <f>Fin_Analysis!I80+Fin_Analysis!I82</f>
        <v>4.784560526062881E-2</v>
      </c>
      <c r="F26" s="140" t="s">
        <v>179</v>
      </c>
      <c r="G26" s="177">
        <f>Fin_Analysis!H88*Exchange_Rate/G3</f>
        <v>6.469141397590486E-2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238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42.398371999659581</v>
      </c>
      <c r="D29" s="128">
        <f>G29*(1+G20)</f>
        <v>76.29012915340175</v>
      </c>
      <c r="E29" s="87"/>
      <c r="F29" s="130">
        <f>IF(Fin_Analysis!C108="Profit",Fin_Analysis!F100,IF(Fin_Analysis!C108="Dividend",Fin_Analysis!F103,Fin_Analysis!F106))</f>
        <v>49.880437646658329</v>
      </c>
      <c r="G29" s="286">
        <f>IF(Fin_Analysis!C108="Profit",Fin_Analysis!I100,IF(Fin_Analysis!C108="Dividend",Fin_Analysis!I103,Fin_Analysis!I106))</f>
        <v>66.339242742088487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agree</v>
      </c>
    </row>
    <row r="34" spans="1:3" ht="15.75" customHeight="1" x14ac:dyDescent="0.4">
      <c r="A34"/>
      <c r="B34" s="19" t="s">
        <v>210</v>
      </c>
      <c r="C34" s="222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agree</v>
      </c>
    </row>
    <row r="37" spans="1:3" ht="15.75" customHeight="1" x14ac:dyDescent="0.4">
      <c r="A37"/>
      <c r="B37" s="20" t="s">
        <v>224</v>
      </c>
      <c r="C37" s="242" t="str">
        <f>Inputs!C19</f>
        <v>agree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agree</v>
      </c>
    </row>
    <row r="40" spans="1:3" ht="15.75" customHeight="1" x14ac:dyDescent="0.4">
      <c r="A40"/>
      <c r="B40" s="1" t="s">
        <v>216</v>
      </c>
      <c r="C40" s="242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1009309</v>
      </c>
      <c r="D6" s="199">
        <f>IF(Inputs!D25="","",Inputs!D25)</f>
        <v>937259</v>
      </c>
      <c r="E6" s="199" t="str">
        <f>IF(Inputs!E25="","",Inputs!E25)</f>
        <v/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0</v>
      </c>
      <c r="D8" s="198">
        <f>IF(Inputs!D26="","",Inputs!D26)</f>
        <v>0</v>
      </c>
      <c r="E8" s="198" t="str">
        <f>IF(Inputs!E26="","",Inputs!E26)</f>
        <v/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1009309</v>
      </c>
      <c r="D9" s="150">
        <f t="shared" si="2"/>
        <v>937259</v>
      </c>
      <c r="E9" s="150" t="str">
        <f t="shared" si="2"/>
        <v/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874963</v>
      </c>
      <c r="D10" s="198">
        <f>IF(Inputs!D27="","",Inputs!D27)</f>
        <v>808160</v>
      </c>
      <c r="E10" s="198" t="str">
        <f>IF(Inputs!E27="","",Inputs!E27)</f>
        <v/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 t="str">
        <f>IF(Inputs!C28="","",Inputs!C28)</f>
        <v/>
      </c>
      <c r="D11" s="198" t="str">
        <f>IF(Inputs!D28="","",Inputs!D28)</f>
        <v/>
      </c>
      <c r="E11" s="198" t="str">
        <f>IF(Inputs!E28="","",Inputs!E28)</f>
        <v/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225.33333333333334</v>
      </c>
      <c r="D12" s="198">
        <f>IF(Inputs!D30="","",MAX(Inputs!D30,0)/(1-Fin_Analysis!$I$84))</f>
        <v>180</v>
      </c>
      <c r="E12" s="198" t="str">
        <f>IF(Inputs!E30="","",MAX(Inputs!E30,0)/(1-Fin_Analysis!$I$84))</f>
        <v/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0.13288365274327946</v>
      </c>
      <c r="D13" s="226">
        <f t="shared" si="3"/>
        <v>0.1375489592524585</v>
      </c>
      <c r="E13" s="226" t="str">
        <f t="shared" si="3"/>
        <v/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134120.66666666666</v>
      </c>
      <c r="D14" s="227">
        <f t="shared" ref="D14:M14" si="4">IF(D6="","",D9-D10-MAX(D11,0)-MAX(D12,0))</f>
        <v>128919</v>
      </c>
      <c r="E14" s="227" t="str">
        <f t="shared" si="4"/>
        <v/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4.0348332415444249E-2</v>
      </c>
      <c r="D15" s="229" t="str">
        <f t="shared" ref="D15:M15" si="5">IF(E14="","",IF(ABS(D14+E14)=ABS(D14)+ABS(E14),IF(D14&lt;0,-1,1)*(D14-E14)/E14,"Turn"))</f>
        <v/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>
        <f>IF(Inputs!C31="","",Inputs!C31)</f>
        <v>22422</v>
      </c>
      <c r="D16" s="198">
        <f>IF(Inputs!D31="","",Inputs!D31)</f>
        <v>22811</v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237</v>
      </c>
      <c r="C17" s="198">
        <f>IF(Inputs!C29="","",Inputs!C29)</f>
        <v>3730</v>
      </c>
      <c r="D17" s="198">
        <f>IF(Inputs!D29="","",Inputs!D29)</f>
        <v>2330</v>
      </c>
      <c r="E17" s="198" t="str">
        <f>IF(Inputs!E29="","",Inputs!E29)</f>
        <v/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>
        <f t="shared" ref="C18:M18" si="6">IF(OR(C6="",C19=""),"",C19/C6)</f>
        <v>0.20522159219822672</v>
      </c>
      <c r="D18" s="151">
        <f t="shared" si="6"/>
        <v>0.21347034277611632</v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>
        <f>IF(Inputs!C32="","",Inputs!C32)</f>
        <v>207132</v>
      </c>
      <c r="D19" s="198">
        <f>IF(Inputs!D32="","",Inputs!D32)</f>
        <v>200077</v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0.17959118565275847</v>
      </c>
      <c r="D20" s="151">
        <f t="shared" si="7"/>
        <v>0.20227919923948451</v>
      </c>
      <c r="E20" s="151" t="str">
        <f t="shared" si="7"/>
        <v/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>
        <f>IF(Inputs!C33="","",Inputs!C33)</f>
        <v>181263</v>
      </c>
      <c r="D21" s="198">
        <f>IF(Inputs!D33="","",Inputs!D33)</f>
        <v>189588</v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82099.666666666657</v>
      </c>
      <c r="D22" s="160">
        <f t="shared" ref="D22:M22" si="8">IF(D6="","",D14-MAX(D16,0)-MAX(D17,0)-ABS(MAX(D21,0)-MAX(D19,0)))</f>
        <v>93289</v>
      </c>
      <c r="E22" s="160" t="str">
        <f t="shared" si="8"/>
        <v/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6.1006837351098617E-2</v>
      </c>
      <c r="D23" s="152">
        <f t="shared" si="9"/>
        <v>7.4650390126955304E-2</v>
      </c>
      <c r="E23" s="152" t="str">
        <f t="shared" si="9"/>
        <v/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-0.11994268706206887</v>
      </c>
      <c r="D25" s="230" t="str">
        <f t="shared" ref="D25:M25" si="10">IF(E24="","",IF(ABS(D24+E24)=ABS(D24)+ABS(E24),IF(D24&lt;0,-1,1)*(D24-E24)/E24,"Turn"))</f>
        <v/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2021607</v>
      </c>
      <c r="D27" s="65">
        <f>IF(D34="","",D34+D30)</f>
        <v>1904550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100939</v>
      </c>
      <c r="D28" s="198">
        <f>IF(Inputs!D35="","",Inputs!D35)</f>
        <v>68428</v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12616</v>
      </c>
      <c r="D29" s="198">
        <f>IF(Inputs!D36="","",Inputs!D36)</f>
        <v>12026</v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259</v>
      </c>
      <c r="C30" s="65">
        <f>Inputs!C37</f>
        <v>637738</v>
      </c>
      <c r="D30" s="198">
        <f>IF(Inputs!D37="","",Inputs!D37)</f>
        <v>558565</v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33448</v>
      </c>
      <c r="D31" s="198">
        <f>IF(Inputs!D39="","",Inputs!D39)</f>
        <v>35175</v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62222</v>
      </c>
      <c r="D32" s="198">
        <f>IF(Inputs!D40="","",Inputs!D40)</f>
        <v>67759</v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95670</v>
      </c>
      <c r="D33" s="77">
        <f t="shared" ref="D33" si="22">IF(OR(D31="",D32=""),"",D31+D32)</f>
        <v>102934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1383869</v>
      </c>
      <c r="D34" s="198">
        <f>IF(Inputs!D41="","",Inputs!D41)</f>
        <v>1345985</v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4325</v>
      </c>
      <c r="D35" s="198">
        <f>IF(Inputs!D42="","",Inputs!D42)</f>
        <v>4253</v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>
        <f>IF(Inputs!D43="","",Inputs!D43)</f>
        <v>795161</v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1204108</v>
      </c>
      <c r="D37" s="65">
        <f t="shared" ref="D37:M37" si="32">IF(D36="","",D27-D36)</f>
        <v>1109389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>
        <f>IF(C6="","",C14/MAX(C37,0))</f>
        <v>0.11138591111982202</v>
      </c>
      <c r="D38" s="154">
        <f>IF(D6="","",D14/MAX(D37,0))</f>
        <v>0.11620720955408788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</v>
      </c>
      <c r="D40" s="155">
        <f t="shared" si="34"/>
        <v>0</v>
      </c>
      <c r="E40" s="155" t="str">
        <f t="shared" si="34"/>
        <v/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0.8668930922046667</v>
      </c>
      <c r="D41" s="152">
        <f t="shared" si="35"/>
        <v>0.86225899137805029</v>
      </c>
      <c r="E41" s="152" t="str">
        <f t="shared" si="35"/>
        <v/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2.2215198715160572E-2</v>
      </c>
      <c r="D42" s="152">
        <f t="shared" si="36"/>
        <v>2.4337989819249534E-2</v>
      </c>
      <c r="E42" s="152" t="str">
        <f t="shared" si="36"/>
        <v/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3.6955976811858409E-3</v>
      </c>
      <c r="D43" s="152">
        <f t="shared" si="37"/>
        <v>2.4859723939700765E-3</v>
      </c>
      <c r="E43" s="152" t="str">
        <f t="shared" si="37"/>
        <v/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2.2325505205376484E-4</v>
      </c>
      <c r="D44" s="152">
        <f t="shared" si="38"/>
        <v>1.9204936949125055E-4</v>
      </c>
      <c r="E44" s="152" t="str">
        <f t="shared" si="38"/>
        <v/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2.5630406545468234E-2</v>
      </c>
      <c r="D45" s="152">
        <f t="shared" si="39"/>
        <v>1.1191143536631816E-2</v>
      </c>
      <c r="E45" s="152" t="str">
        <f t="shared" si="39"/>
        <v/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8.1342449801464822E-2</v>
      </c>
      <c r="D46" s="152">
        <f t="shared" si="40"/>
        <v>9.9533853502607073E-2</v>
      </c>
      <c r="E46" s="152" t="str">
        <f t="shared" si="40"/>
        <v/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245</v>
      </c>
      <c r="C47" s="280" t="s">
        <v>263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251</v>
      </c>
      <c r="C48" s="269">
        <f t="shared" ref="C48:M48" si="41">IF(C6="","",C6/C27)</f>
        <v>0.49926073663179837</v>
      </c>
      <c r="D48" s="269">
        <f t="shared" si="41"/>
        <v>0.49211572287416977</v>
      </c>
      <c r="E48" s="269" t="str">
        <f t="shared" si="41"/>
        <v/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252</v>
      </c>
      <c r="C49" s="152">
        <f t="shared" ref="C49:M49" si="42">IF(C28="","",C28/C6)</f>
        <v>0.10000802529255164</v>
      </c>
      <c r="D49" s="152">
        <f t="shared" si="42"/>
        <v>7.3008634753040522E-2</v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253</v>
      </c>
      <c r="C50" s="152">
        <f t="shared" ref="C50:M50" si="43">IF(C29="","",C29/C6)</f>
        <v>1.2499640843388893E-2</v>
      </c>
      <c r="D50" s="152">
        <f t="shared" si="43"/>
        <v>1.2831031763898772E-2</v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243</v>
      </c>
      <c r="C51" s="152">
        <f t="shared" ref="C51:M51" si="44">IF(D6="","",C16/(C6-D6))</f>
        <v>0.31120055517002082</v>
      </c>
      <c r="D51" s="152" t="str">
        <f t="shared" si="44"/>
        <v/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247</v>
      </c>
      <c r="C53" s="155">
        <f t="shared" ref="C53:M53" si="45">IF(C34="","",(C34-C35)/C27)</f>
        <v>0.68239969489618901</v>
      </c>
      <c r="D53" s="155">
        <f t="shared" si="45"/>
        <v>0.70448767425376069</v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>
        <f t="shared" ref="C54:M54" si="46">IF(OR(C22="",C33=""),"",IF(C33&lt;=0,"-",C22/C33))</f>
        <v>0.85815476812654601</v>
      </c>
      <c r="D54" s="156">
        <f t="shared" si="46"/>
        <v>0.90629918200011661</v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4.5432583973138346E-2</v>
      </c>
      <c r="D55" s="152">
        <f t="shared" si="47"/>
        <v>2.4976149385243705E-2</v>
      </c>
      <c r="E55" s="152" t="str">
        <f t="shared" si="47"/>
        <v/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248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249</v>
      </c>
      <c r="C58" s="271">
        <f t="shared" ref="C58:M58" si="49">IF(C14="","",C14/(C34-C35))</f>
        <v>9.7221014093545874E-2</v>
      </c>
      <c r="D58" s="271">
        <f t="shared" si="49"/>
        <v>9.6084016778313408E-2</v>
      </c>
      <c r="E58" s="271" t="str">
        <f t="shared" si="49"/>
        <v/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250</v>
      </c>
      <c r="C59" s="271">
        <f t="shared" ref="C59:M59" si="50">IF(C22="","",C22/(C34-C35))</f>
        <v>5.9512176970554512E-2</v>
      </c>
      <c r="D59" s="271">
        <f t="shared" si="50"/>
        <v>6.9528788163359001E-2</v>
      </c>
      <c r="E59" s="271" t="str">
        <f t="shared" si="50"/>
        <v/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1383869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1379544</v>
      </c>
      <c r="K3" s="24"/>
    </row>
    <row r="4" spans="1:11" ht="15" customHeight="1" x14ac:dyDescent="0.4">
      <c r="B4" s="3" t="s">
        <v>23</v>
      </c>
      <c r="C4" s="87"/>
      <c r="D4" s="198">
        <f>Inputs!C42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>
        <f>C28/I28</f>
        <v>0.96378562214143304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-24071.052018344828</v>
      </c>
      <c r="E6" s="56">
        <f>1-D6/D3</f>
        <v>1.0173940250257394</v>
      </c>
      <c r="F6" s="87"/>
      <c r="G6" s="87"/>
      <c r="H6" s="1" t="s">
        <v>26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172891</v>
      </c>
      <c r="D11" s="197">
        <f>Inputs!D48</f>
        <v>0.9</v>
      </c>
      <c r="E11" s="88">
        <f t="shared" ref="E11:E22" si="0">C11*D11</f>
        <v>155601.9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33448</v>
      </c>
      <c r="J12" s="87"/>
      <c r="K12" s="24"/>
    </row>
    <row r="13" spans="1:11" ht="13.9" x14ac:dyDescent="0.4">
      <c r="B13" s="3" t="s">
        <v>112</v>
      </c>
      <c r="C13" s="40">
        <f>Inputs!C50</f>
        <v>100939</v>
      </c>
      <c r="D13" s="197">
        <f>Inputs!D50</f>
        <v>0.6</v>
      </c>
      <c r="E13" s="88">
        <f t="shared" si="0"/>
        <v>60563.399999999994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176336</v>
      </c>
      <c r="D14" s="197">
        <f>Inputs!D51</f>
        <v>0.6</v>
      </c>
      <c r="E14" s="88">
        <f t="shared" si="0"/>
        <v>105801.59999999999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19344</v>
      </c>
      <c r="D15" s="197">
        <f>Inputs!D52</f>
        <v>0.5</v>
      </c>
      <c r="E15" s="88">
        <f t="shared" si="0"/>
        <v>9672</v>
      </c>
      <c r="F15" s="112"/>
      <c r="G15" s="87"/>
      <c r="H15" s="1" t="s">
        <v>50</v>
      </c>
      <c r="I15" s="84">
        <f>SUM(I11:I14)</f>
        <v>33448</v>
      </c>
      <c r="J15" s="87"/>
    </row>
    <row r="16" spans="1:11" ht="13.9" x14ac:dyDescent="0.4">
      <c r="B16" s="1" t="s">
        <v>150</v>
      </c>
      <c r="C16" s="40">
        <f>Inputs!C53</f>
        <v>22728</v>
      </c>
      <c r="D16" s="197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28822</v>
      </c>
      <c r="D17" s="197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12616</v>
      </c>
      <c r="D18" s="197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507</v>
      </c>
      <c r="D21" s="197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51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52</v>
      </c>
      <c r="I25" s="63">
        <f>E28/I28</f>
        <v>0.64035904051384285</v>
      </c>
    </row>
    <row r="26" spans="2:10" ht="15" customHeight="1" x14ac:dyDescent="0.4">
      <c r="B26" s="23" t="s">
        <v>53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54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55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56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4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75495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182795</v>
      </c>
      <c r="D31" s="197">
        <f>Inputs!D61</f>
        <v>0.6</v>
      </c>
      <c r="E31" s="88">
        <f t="shared" ref="E31:E42" si="1">C31*D31</f>
        <v>109677</v>
      </c>
      <c r="F31" s="112"/>
      <c r="G31" s="87"/>
      <c r="H31" s="3" t="s">
        <v>60</v>
      </c>
      <c r="I31" s="40">
        <f>Inputs!C79</f>
        <v>62222</v>
      </c>
      <c r="J31" s="87"/>
    </row>
    <row r="32" spans="2:10" ht="15" customHeight="1" x14ac:dyDescent="0.4">
      <c r="B32" s="3" t="s">
        <v>61</v>
      </c>
      <c r="C32" s="40">
        <f>Inputs!C62</f>
        <v>5625</v>
      </c>
      <c r="D32" s="197">
        <f>Inputs!D62</f>
        <v>0.5</v>
      </c>
      <c r="E32" s="88">
        <f t="shared" si="1"/>
        <v>2812.5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62222</v>
      </c>
      <c r="J34" s="87"/>
    </row>
    <row r="35" spans="2:10" ht="13.9" x14ac:dyDescent="0.4">
      <c r="B35" s="3" t="s">
        <v>66</v>
      </c>
      <c r="C35" s="40">
        <f>Inputs!C65</f>
        <v>185013</v>
      </c>
      <c r="D35" s="197">
        <f>Inputs!D65</f>
        <v>0.1</v>
      </c>
      <c r="E35" s="88">
        <f t="shared" si="1"/>
        <v>18501.3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94862</v>
      </c>
      <c r="D37" s="197">
        <f>Inputs!D67</f>
        <v>0.1</v>
      </c>
      <c r="E37" s="88">
        <f t="shared" si="1"/>
        <v>9486.2000000000007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781712</v>
      </c>
      <c r="D38" s="197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34291</v>
      </c>
      <c r="D40" s="197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47891</v>
      </c>
      <c r="D41" s="197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79740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77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78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79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80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81</v>
      </c>
      <c r="I48" s="281">
        <f>I49-I28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82</v>
      </c>
      <c r="I49" s="40">
        <f>Inputs!C37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4325</v>
      </c>
      <c r="D53" s="29">
        <f>IF(E53=0, 0,E53/C53)</f>
        <v>1.0913068250508218</v>
      </c>
      <c r="E53" s="88">
        <f>IF(C53=0,0,MAX(C53,C53*Dashboard!G23))</f>
        <v>4719.9020183448038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95670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248386</v>
      </c>
      <c r="D62" s="107">
        <f t="shared" si="2"/>
        <v>0.62645197394378105</v>
      </c>
      <c r="E62" s="117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1009309</v>
      </c>
      <c r="D74" s="206"/>
      <c r="E74" s="235">
        <f>Inputs!E91</f>
        <v>1009309</v>
      </c>
      <c r="F74" s="206"/>
      <c r="H74" s="235">
        <f>Inputs!F91</f>
        <v>1009309</v>
      </c>
      <c r="I74" s="206"/>
      <c r="K74" s="24"/>
    </row>
    <row r="75" spans="1:11" ht="15" customHeight="1" x14ac:dyDescent="0.4">
      <c r="B75" s="104" t="s">
        <v>102</v>
      </c>
      <c r="C75" s="77">
        <f>Data!C8</f>
        <v>0</v>
      </c>
      <c r="D75" s="158">
        <f>C75/$C$74</f>
        <v>0</v>
      </c>
      <c r="E75" s="235">
        <f>Inputs!E92</f>
        <v>0</v>
      </c>
      <c r="F75" s="159">
        <f>E75/E74</f>
        <v>0</v>
      </c>
      <c r="H75" s="235">
        <f>Inputs!F92</f>
        <v>0</v>
      </c>
      <c r="I75" s="159">
        <f>H75/$H$74</f>
        <v>0</v>
      </c>
      <c r="K75" s="24"/>
    </row>
    <row r="76" spans="1:11" ht="15" customHeight="1" x14ac:dyDescent="0.4">
      <c r="B76" s="35" t="s">
        <v>92</v>
      </c>
      <c r="C76" s="160">
        <f>C74-C75</f>
        <v>1009309</v>
      </c>
      <c r="D76" s="207"/>
      <c r="E76" s="161">
        <f>E74-E75</f>
        <v>1009309</v>
      </c>
      <c r="F76" s="207"/>
      <c r="H76" s="161">
        <f>H74-H75</f>
        <v>1009309</v>
      </c>
      <c r="I76" s="207"/>
      <c r="K76" s="24"/>
    </row>
    <row r="77" spans="1:11" ht="15" customHeight="1" x14ac:dyDescent="0.4">
      <c r="B77" s="104" t="s">
        <v>229</v>
      </c>
      <c r="C77" s="77">
        <f>Data!C10+MAX(Data!C11,0)</f>
        <v>874963</v>
      </c>
      <c r="D77" s="158">
        <f>C77/$C$74</f>
        <v>0.8668930922046667</v>
      </c>
      <c r="E77" s="235">
        <f>Inputs!E93</f>
        <v>874963</v>
      </c>
      <c r="F77" s="159">
        <f>E77/E74</f>
        <v>0.8668930922046667</v>
      </c>
      <c r="H77" s="235">
        <f>Inputs!F93</f>
        <v>874963</v>
      </c>
      <c r="I77" s="159">
        <f>H77/$H$74</f>
        <v>0.8668930922046667</v>
      </c>
      <c r="K77" s="24"/>
    </row>
    <row r="78" spans="1:11" ht="15" customHeight="1" x14ac:dyDescent="0.4">
      <c r="B78" s="73" t="s">
        <v>161</v>
      </c>
      <c r="C78" s="77">
        <f>MAX(Data!C12,0)</f>
        <v>225.33333333333334</v>
      </c>
      <c r="D78" s="158">
        <f>C78/$C$74</f>
        <v>2.2325505205376484E-4</v>
      </c>
      <c r="E78" s="179">
        <f>E74*F78</f>
        <v>225.33333333333334</v>
      </c>
      <c r="F78" s="159">
        <f>I78</f>
        <v>2.2325505205376484E-4</v>
      </c>
      <c r="H78" s="235">
        <f>Inputs!F97</f>
        <v>225.33333333333334</v>
      </c>
      <c r="I78" s="159">
        <f>H78/$H$74</f>
        <v>2.2325505205376484E-4</v>
      </c>
      <c r="K78" s="24"/>
    </row>
    <row r="79" spans="1:11" ht="15" customHeight="1" x14ac:dyDescent="0.4">
      <c r="B79" s="253" t="s">
        <v>217</v>
      </c>
      <c r="C79" s="254">
        <f>C76-C77-C78</f>
        <v>134120.66666666666</v>
      </c>
      <c r="D79" s="255">
        <f>C79/C74</f>
        <v>0.13288365274327946</v>
      </c>
      <c r="E79" s="256">
        <f>E76-E77-E78</f>
        <v>134120.66666666666</v>
      </c>
      <c r="F79" s="255">
        <f>E79/E74</f>
        <v>0.13288365274327946</v>
      </c>
      <c r="G79" s="257"/>
      <c r="H79" s="256">
        <f>H76-H77-H78</f>
        <v>134120.66666666666</v>
      </c>
      <c r="I79" s="255">
        <f>H79/H74</f>
        <v>0.13288365274327946</v>
      </c>
      <c r="K79" s="24"/>
    </row>
    <row r="80" spans="1:11" ht="15" customHeight="1" x14ac:dyDescent="0.4">
      <c r="B80" s="28" t="s">
        <v>106</v>
      </c>
      <c r="C80" s="77">
        <f>MAX(Data!C16,0)</f>
        <v>22422</v>
      </c>
      <c r="D80" s="158">
        <f>C80/$C$74</f>
        <v>2.2215198715160572E-2</v>
      </c>
      <c r="E80" s="179">
        <f>E74*F80</f>
        <v>22422</v>
      </c>
      <c r="F80" s="159">
        <f>I80</f>
        <v>2.2215198715160572E-2</v>
      </c>
      <c r="H80" s="235">
        <f>Inputs!F96</f>
        <v>22422</v>
      </c>
      <c r="I80" s="159">
        <f>H80/$H$74</f>
        <v>2.2215198715160572E-2</v>
      </c>
      <c r="K80" s="180" t="s">
        <v>126</v>
      </c>
    </row>
    <row r="81" spans="1:11" ht="15" customHeight="1" x14ac:dyDescent="0.4">
      <c r="B81" s="104" t="s">
        <v>237</v>
      </c>
      <c r="C81" s="77">
        <f>MAX(Data!C17,0)</f>
        <v>3730</v>
      </c>
      <c r="D81" s="158">
        <f>C81/$C$74</f>
        <v>3.6955976811858409E-3</v>
      </c>
      <c r="E81" s="179">
        <f>E74*F81</f>
        <v>3730</v>
      </c>
      <c r="F81" s="159">
        <f>I81</f>
        <v>3.6955976811858409E-3</v>
      </c>
      <c r="H81" s="235">
        <f>Inputs!F94</f>
        <v>3730</v>
      </c>
      <c r="I81" s="159">
        <f>H81/$H$74</f>
        <v>3.6955976811858409E-3</v>
      </c>
      <c r="K81" s="24"/>
    </row>
    <row r="82" spans="1:11" ht="15" customHeight="1" x14ac:dyDescent="0.4">
      <c r="B82" s="28" t="s">
        <v>228</v>
      </c>
      <c r="C82" s="77">
        <f>ABS(MAX(Data!C21,0)-MAX(Data!C19,0))</f>
        <v>25869</v>
      </c>
      <c r="D82" s="158">
        <f>C82/$C$74</f>
        <v>2.5630406545468234E-2</v>
      </c>
      <c r="E82" s="235">
        <f>Inputs!E95</f>
        <v>25869</v>
      </c>
      <c r="F82" s="159">
        <f>E82/E74</f>
        <v>2.5630406545468234E-2</v>
      </c>
      <c r="H82" s="235">
        <f>Inputs!F95</f>
        <v>25869</v>
      </c>
      <c r="I82" s="159">
        <f>H82/$H$74</f>
        <v>2.5630406545468234E-2</v>
      </c>
      <c r="K82" s="24"/>
    </row>
    <row r="83" spans="1:11" ht="15" customHeight="1" thickBot="1" x14ac:dyDescent="0.45">
      <c r="B83" s="105" t="s">
        <v>120</v>
      </c>
      <c r="C83" s="162">
        <f>C79-C81-C82-C80</f>
        <v>82099.666666666657</v>
      </c>
      <c r="D83" s="163">
        <f>C83/$C$74</f>
        <v>8.1342449801464822E-2</v>
      </c>
      <c r="E83" s="164">
        <f>E79-E81-E82-E80</f>
        <v>82099.666666666657</v>
      </c>
      <c r="F83" s="163">
        <f>E83/E74</f>
        <v>8.1342449801464822E-2</v>
      </c>
      <c r="H83" s="164">
        <f>H79-H81-H82-H80</f>
        <v>82099.666666666657</v>
      </c>
      <c r="I83" s="163">
        <f>H83/$H$74</f>
        <v>8.1342449801464822E-2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61574.749999999993</v>
      </c>
      <c r="D85" s="255">
        <f>C85/$C$74</f>
        <v>6.1006837351098617E-2</v>
      </c>
      <c r="E85" s="261">
        <f>E83*(1-F84)</f>
        <v>61574.749999999993</v>
      </c>
      <c r="F85" s="255">
        <f>E85/E74</f>
        <v>6.1006837351098617E-2</v>
      </c>
      <c r="G85" s="257"/>
      <c r="H85" s="261">
        <f>H83*(1-I84)</f>
        <v>61574.749999999993</v>
      </c>
      <c r="I85" s="255">
        <f>H85/$H$74</f>
        <v>6.1006837351098617E-2</v>
      </c>
      <c r="K85" s="24"/>
    </row>
    <row r="86" spans="1:11" ht="15" customHeight="1" x14ac:dyDescent="0.4">
      <c r="B86" s="87" t="s">
        <v>152</v>
      </c>
      <c r="C86" s="166">
        <f>C85*Data!C4/Common_Shares</f>
        <v>2.8663856265948864</v>
      </c>
      <c r="D86" s="206"/>
      <c r="E86" s="167">
        <f>E85*Data!C4/Common_Shares</f>
        <v>2.8663856265948864</v>
      </c>
      <c r="F86" s="206"/>
      <c r="H86" s="167">
        <f>H85*Data!C4/Common_Shares</f>
        <v>2.8663856265948864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4.0771886364255321E-2</v>
      </c>
      <c r="D87" s="206"/>
      <c r="E87" s="259">
        <f>E86*Exchange_Rate/Dashboard!G3</f>
        <v>4.0771886364255321E-2</v>
      </c>
      <c r="F87" s="206"/>
      <c r="H87" s="259">
        <f>H86*Exchange_Rate/Dashboard!G3</f>
        <v>4.0771886364255321E-2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4.548</v>
      </c>
      <c r="D88" s="165">
        <f>C88/C86</f>
        <v>1.5866671803691612</v>
      </c>
      <c r="E88" s="169">
        <f>Inputs!E98</f>
        <v>4.548</v>
      </c>
      <c r="F88" s="165">
        <f>E88/E86</f>
        <v>1.5866671803691612</v>
      </c>
      <c r="H88" s="169">
        <f>Inputs!F98</f>
        <v>4.548</v>
      </c>
      <c r="I88" s="165">
        <f>H88/H86</f>
        <v>1.5866671803691612</v>
      </c>
      <c r="K88" s="24"/>
    </row>
    <row r="89" spans="1:11" ht="15" customHeight="1" x14ac:dyDescent="0.4">
      <c r="B89" s="87" t="s">
        <v>206</v>
      </c>
      <c r="C89" s="258">
        <f>C88*Exchange_Rate/Dashboard!G3</f>
        <v>6.469141397590486E-2</v>
      </c>
      <c r="D89" s="206"/>
      <c r="E89" s="258">
        <f>E88*Exchange_Rate/Dashboard!G3</f>
        <v>6.469141397590486E-2</v>
      </c>
      <c r="F89" s="206"/>
      <c r="H89" s="258">
        <f>H88*Exchange_Rate/Dashboard!G3</f>
        <v>6.469141397590486E-2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56.440729918175158</v>
      </c>
      <c r="H93" s="87" t="s">
        <v>195</v>
      </c>
      <c r="I93" s="143">
        <f>FV(H87,D93,0,-(H86/(C93-D94)))*Exchange_Rate</f>
        <v>56.440729918175158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100.32737677625178</v>
      </c>
      <c r="H94" s="87" t="s">
        <v>196</v>
      </c>
      <c r="I94" s="143">
        <f>FV(H89,D93,0,-(H88/(C93-D94)))*Exchange_Rate</f>
        <v>100.32737677625178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602797.52386566834</v>
      </c>
      <c r="D97" s="210"/>
      <c r="E97" s="122">
        <f>PV(C94,D93,0,-F93)</f>
        <v>28.061017838570841</v>
      </c>
      <c r="F97" s="210"/>
      <c r="H97" s="122">
        <f>PV(C94,D93,0,-I93)</f>
        <v>28.061017838570841</v>
      </c>
      <c r="I97" s="122">
        <f>PV(C93,D93,0,-I93)</f>
        <v>37.320175239235056</v>
      </c>
      <c r="K97" s="24"/>
    </row>
    <row r="98" spans="2:11" ht="15" customHeight="1" x14ac:dyDescent="0.4">
      <c r="B98" s="28" t="s">
        <v>139</v>
      </c>
      <c r="C98" s="91">
        <f>-E53*Exchange_Rate</f>
        <v>-5041.9566552601991</v>
      </c>
      <c r="D98" s="210"/>
      <c r="E98" s="210"/>
      <c r="F98" s="210"/>
      <c r="H98" s="122">
        <f>C98*Data!$C$4/Common_Shares</f>
        <v>-0.23470971602080831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597755.56721040816</v>
      </c>
      <c r="D100" s="109">
        <f>MIN(F100*(1-C94),E100)</f>
        <v>23.652361904167527</v>
      </c>
      <c r="E100" s="109">
        <f>MAX(E97+H98+E99,0)</f>
        <v>27.826308122550031</v>
      </c>
      <c r="F100" s="109">
        <f>(E100+H100)/2</f>
        <v>27.826308122550035</v>
      </c>
      <c r="H100" s="109">
        <f>MAX(C100*Data!$C$4/Common_Shares,0)</f>
        <v>27.826308122550039</v>
      </c>
      <c r="I100" s="109">
        <f>MAX(I97+H98+H99,0)</f>
        <v>37.085465523214246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1071515.098836232</v>
      </c>
      <c r="D103" s="109">
        <f>MIN(F103*(1-C94),E103)</f>
        <v>42.398371999659581</v>
      </c>
      <c r="E103" s="122">
        <f>PV(C94,D93,0,-F94)</f>
        <v>49.880437646658329</v>
      </c>
      <c r="F103" s="109">
        <f>(E103+H103)/2</f>
        <v>49.880437646658329</v>
      </c>
      <c r="H103" s="122">
        <f>PV(C94,D93,0,-I94)</f>
        <v>49.880437646658329</v>
      </c>
      <c r="I103" s="109">
        <f>PV(C93,D93,0,-I94)</f>
        <v>66.339242742088487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834635.33302332007</v>
      </c>
      <c r="D106" s="109">
        <f>(D100+D103)/2</f>
        <v>33.025366951913554</v>
      </c>
      <c r="E106" s="122">
        <f>(E100+E103)/2</f>
        <v>38.853372884604184</v>
      </c>
      <c r="F106" s="109">
        <f>(F100+F103)/2</f>
        <v>38.853372884604184</v>
      </c>
      <c r="H106" s="122">
        <f>(H100+H103)/2</f>
        <v>38.853372884604184</v>
      </c>
      <c r="I106" s="122">
        <f>(I100+I103)/2</f>
        <v>51.71235413265137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2024-12-17T02:59:03Z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