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78531B8-7BEB-496E-BF08-4A2E6DD59A6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7" i="4" l="1"/>
  <c r="E95" i="4"/>
  <c r="F94" i="4"/>
  <c r="F93" i="4"/>
  <c r="E92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F96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<sst xmlns="http://schemas.openxmlformats.org/spreadsheetml/2006/main" count="392" uniqueCount="274">
  <si>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</si>
  <si>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</si>
  <si>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</si>
  <si>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</si>
  <si>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</si>
  <si>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</si>
  <si>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</si>
  <si>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</si>
  <si>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</si>
  <si>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</si>
  <si>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</si>
  <si>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</si>
  <si>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</si>
  <si>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</si>
  <si>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</si>
  <si>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</si>
  <si>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</si>
  <si>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</si>
  <si>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</si>
  <si>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</si>
  <si>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</si>
  <si>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</si>
  <si>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</si>
  <si>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</si>
  <si>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</si>
  <si>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</si>
  <si>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</si>
  <si>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</si>
  <si>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</si>
  <si>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</si>
  <si>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</si>
  <si>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</si>
  <si>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</si>
  <si>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</si>
  <si>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</si>
  <si>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</si>
  <si>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</si>
  <si>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</si>
  <si>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</si>
  <si>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</si>
  <si>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</si>
  <si>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</si>
  <si>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</si>
  <si>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</si>
  <si>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</si>
  <si>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</si>
  <si>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</si>
  <si>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</si>
  <si>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</si>
  <si>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</si>
  <si>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</si>
  <si>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</si>
  <si>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</si>
  <si>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</si>
  <si>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</si>
  <si>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</si>
  <si>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</si>
  <si>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</si>
  <si>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</si>
  <si>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</si>
  <si>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</si>
  <si>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</si>
  <si>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</si>
  <si>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</si>
  <si>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</si>
  <si>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</si>
  <si>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</si>
  <si>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</si>
  <si>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</si>
  <si>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</si>
  <si>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</si>
  <si>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</si>
  <si>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</si>
  <si>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</si>
  <si>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</si>
  <si>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</si>
  <si>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</si>
  <si>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</si>
  <si>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</si>
  <si>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</si>
  <si>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</si>
  <si>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</si>
  <si>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</si>
  <si>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</si>
  <si>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</si>
  <si>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</si>
  <si>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</si>
  <si>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</si>
  <si>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</si>
  <si>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</si>
  <si>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</si>
  <si>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</si>
  <si>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</si>
  <si>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</si>
  <si>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</si>
  <si>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</si>
  <si>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</si>
  <si>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</si>
  <si>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</si>
  <si>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</si>
  <si>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</si>
  <si>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</si>
  <si>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</si>
  <si>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</si>
  <si>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</si>
  <si>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</si>
  <si>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</si>
  <si>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</si>
  <si>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</si>
  <si>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</si>
  <si>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</si>
  <si>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</si>
  <si>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</si>
  <si>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</si>
  <si>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</si>
  <si>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</si>
  <si>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</si>
  <si>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</si>
  <si>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</si>
  <si>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</si>
  <si>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</si>
  <si>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</si>
  <si>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</si>
  <si>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</si>
  <si>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</si>
  <si>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</si>
  <si>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</si>
  <si>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</si>
  <si>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</si>
  <si>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</si>
  <si>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</si>
  <si>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</si>
  <si>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</si>
  <si>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</si>
  <si>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</si>
  <si>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</si>
  <si>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</si>
  <si>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</si>
  <si>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</si>
  <si>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</si>
  <si>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</si>
  <si>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</si>
  <si>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</si>
  <si>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</si>
  <si>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</si>
  <si>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</si>
  <si>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</si>
  <si>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</si>
  <si>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</si>
  <si>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</si>
  <si>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</si>
  <si>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</si>
  <si>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</si>
  <si>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</si>
  <si>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</si>
  <si>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</si>
  <si>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</si>
  <si>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</si>
  <si>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</si>
  <si>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</si>
  <si>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</si>
  <si>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</si>
  <si>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</si>
  <si>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</si>
  <si>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</si>
  <si>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</si>
  <si>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</si>
  <si>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</si>
  <si>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</si>
  <si>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</si>
  <si>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</si>
  <si>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</si>
  <si>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</si>
  <si>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</si>
  <si>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</si>
  <si>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</si>
  <si>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</si>
  <si>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</si>
  <si>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</si>
  <si>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</si>
  <si>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</si>
  <si>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</si>
  <si>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</si>
  <si>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</si>
  <si>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</si>
  <si>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</si>
  <si>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</si>
  <si>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</si>
  <si>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</si>
  <si>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</si>
  <si>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</si>
  <si>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</si>
  <si>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</si>
  <si>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</si>
  <si>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</si>
  <si>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</si>
  <si>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</si>
  <si>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</si>
  <si>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</si>
  <si>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</si>
  <si>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</si>
  <si>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</si>
  <si>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</si>
  <si>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</si>
  <si>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</si>
  <si>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</si>
  <si>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</si>
  <si>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</si>
  <si>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</si>
  <si>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</si>
  <si>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</si>
  <si>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</si>
  <si>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</si>
  <si>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</si>
  <si>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</si>
  <si>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</si>
  <si>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</si>
  <si>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</si>
  <si>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</si>
  <si>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</si>
  <si>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</si>
  <si>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</si>
  <si>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</si>
  <si>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</si>
  <si>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</si>
  <si>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</si>
  <si>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</si>
  <si>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</si>
  <si>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</si>
  <si>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</si>
  <si>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</si>
  <si>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</si>
  <si>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</si>
  <si>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</si>
  <si>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</si>
  <si>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</si>
  <si>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</si>
  <si>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</si>
  <si>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</si>
  <si>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</si>
  <si>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</si>
  <si>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</si>
  <si>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</si>
  <si>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</si>
  <si>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</si>
  <si>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</si>
  <si>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</si>
  <si>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</si>
  <si>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</si>
  <si>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</si>
  <si>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</si>
  <si>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</si>
  <si>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</si>
  <si>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</si>
  <si>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</si>
  <si>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</si>
  <si>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</si>
  <si>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</si>
  <si>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</si>
  <si>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</si>
  <si>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</si>
  <si>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</si>
  <si>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</si>
  <si>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</si>
  <si>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</si>
  <si>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</si>
  <si>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</si>
  <si>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</si>
  <si>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0992.HK</t>
  </si>
  <si>
    <t>聯想集團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</si>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</sst>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268</v>
      </c>
    </row>
    <row r="5" spans="1:5" ht="13.9" x14ac:dyDescent="0.4">
      <c r="B5" s="140" t="s">
        <v>181</v>
      </c>
      <c r="C5" s="190" t="s">
        <v>269</v>
      </c>
    </row>
    <row r="6" spans="1:5" ht="13.9" x14ac:dyDescent="0.4">
      <c r="B6" s="140" t="s">
        <v>155</v>
      </c>
      <c r="C6" s="188">
        <v>45630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270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12404659302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176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56863784</v>
      </c>
      <c r="D25" s="148">
        <v>61946854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47060601</v>
      </c>
      <c r="D26" s="149">
        <v>51445762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3308889+2491839+25659</f>
        <v>5826387</v>
      </c>
      <c r="D27" s="149">
        <f>3285126+2311771+16799</f>
        <v>5613696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>
        <v>2027532</v>
      </c>
      <c r="D28" s="149">
        <v>2195329</v>
      </c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762805</v>
      </c>
      <c r="D29" s="149">
        <v>657704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91806</v>
      </c>
      <c r="D30" s="149">
        <v>73109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(0.08+0.3)/Exchange_Rate</f>
        <v>4.8880402235424544E-2</v>
      </c>
      <c r="D44" s="247">
        <f>(0.08+0.3)/Exchange_Rate</f>
        <v>4.8880402235424544E-2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4.0904198062432728E-2</v>
      </c>
      <c r="D45" s="151">
        <f>IF(D44="","",D44*Exchange_Rate/Dashboard!$G$3)</f>
        <v>4.0904198062432728E-2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42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266</v>
      </c>
      <c r="C82" s="214"/>
    </row>
    <row r="83" spans="2:8" ht="14.25" hidden="1" thickTop="1" x14ac:dyDescent="0.4">
      <c r="B83" s="73" t="s">
        <v>267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56863784</v>
      </c>
      <c r="D91" s="206"/>
      <c r="E91" s="248">
        <f>C91</f>
        <v>56863784</v>
      </c>
      <c r="F91" s="248">
        <f>C91</f>
        <v>56863784</v>
      </c>
    </row>
    <row r="92" spans="2:8" ht="13.9" x14ac:dyDescent="0.4">
      <c r="B92" s="104" t="s">
        <v>102</v>
      </c>
      <c r="C92" s="77">
        <f>C26</f>
        <v>47060601</v>
      </c>
      <c r="D92" s="158">
        <f>C92/C91</f>
        <v>0.82760234528184051</v>
      </c>
      <c r="E92" s="249">
        <f>E91*D92</f>
        <v>47060601</v>
      </c>
      <c r="F92" s="249">
        <f>F91*D92</f>
        <v>47060601</v>
      </c>
    </row>
    <row r="93" spans="2:8" ht="13.9" x14ac:dyDescent="0.4">
      <c r="B93" s="104" t="s">
        <v>230</v>
      </c>
      <c r="C93" s="77">
        <f>C27+C28</f>
        <v>7853919</v>
      </c>
      <c r="D93" s="158">
        <f>C93/C91</f>
        <v>0.1381181210170607</v>
      </c>
      <c r="E93" s="249">
        <f>E91*D93</f>
        <v>7853919</v>
      </c>
      <c r="F93" s="249">
        <f>F91*D93</f>
        <v>7853919</v>
      </c>
    </row>
    <row r="94" spans="2:8" ht="13.9" x14ac:dyDescent="0.4">
      <c r="B94" s="104" t="s">
        <v>239</v>
      </c>
      <c r="C94" s="77">
        <f>C29</f>
        <v>762805</v>
      </c>
      <c r="D94" s="158">
        <f>C94/C91</f>
        <v>1.3414601462329697E-2</v>
      </c>
      <c r="E94" s="250"/>
      <c r="F94" s="249">
        <f>F91*D94</f>
        <v>762805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122408</v>
      </c>
      <c r="D97" s="158">
        <f>C97/C91</f>
        <v>2.152653084078963E-3</v>
      </c>
      <c r="E97" s="250"/>
      <c r="F97" s="249">
        <f>F91*D97</f>
        <v>122407.99999999999</v>
      </c>
    </row>
    <row r="98" spans="2:7" ht="13.9" x14ac:dyDescent="0.4">
      <c r="B98" s="86" t="s">
        <v>193</v>
      </c>
      <c r="C98" s="234">
        <f>C44</f>
        <v>4.8880402235424544E-2</v>
      </c>
      <c r="D98" s="263"/>
      <c r="E98" s="251">
        <f>F98</f>
        <v>4.8880402235424544E-2</v>
      </c>
      <c r="F98" s="251">
        <f>C98</f>
        <v>4.8880402235424544E-2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0992.HK : 聯想集團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0992.HK</v>
      </c>
      <c r="D3" s="290"/>
      <c r="E3" s="87"/>
      <c r="F3" s="3" t="s">
        <v>1</v>
      </c>
      <c r="G3" s="131">
        <v>9.2899999999999991</v>
      </c>
      <c r="H3" s="133" t="s">
        <v>273</v>
      </c>
    </row>
    <row r="4" spans="1:10" ht="15.75" customHeight="1" x14ac:dyDescent="0.4">
      <c r="B4" s="35" t="s">
        <v>181</v>
      </c>
      <c r="C4" s="291" t="str">
        <f>Inputs!C5</f>
        <v>聯想集團</v>
      </c>
      <c r="D4" s="292"/>
      <c r="E4" s="87"/>
      <c r="F4" s="3" t="s">
        <v>2</v>
      </c>
      <c r="G4" s="295">
        <f>Inputs!C10</f>
        <v>12404659302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45630</v>
      </c>
      <c r="D5" s="294"/>
      <c r="E5" s="34"/>
      <c r="F5" s="35" t="s">
        <v>96</v>
      </c>
      <c r="G5" s="287">
        <f>G3*G4/1000000</f>
        <v>115239.28491557999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C0006</v>
      </c>
      <c r="E7" s="87"/>
      <c r="F7" s="35" t="s">
        <v>5</v>
      </c>
      <c r="G7" s="132">
        <v>7.7740767796834307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HK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251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249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264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256</v>
      </c>
      <c r="C23" s="279">
        <f>Data!C13</f>
        <v>3.2126880617019786E-2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257</v>
      </c>
      <c r="C24" s="170">
        <f>Fin_Analysis!I81</f>
        <v>1.3414601462329697E-2</v>
      </c>
      <c r="F24" s="139" t="s">
        <v>242</v>
      </c>
      <c r="G24" s="265">
        <f>G3/(Fin_Analysis!H86*G7)</f>
        <v>18.574965746171753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162</v>
      </c>
      <c r="G25" s="170">
        <f>Fin_Analysis!I88</f>
        <v>0.75979407788431286</v>
      </c>
    </row>
    <row r="26" spans="1:8" ht="15.75" customHeight="1" x14ac:dyDescent="0.4">
      <c r="B26" s="137" t="s">
        <v>259</v>
      </c>
      <c r="C26" s="170">
        <f>Fin_Analysis!I80+Fin_Analysis!I82</f>
        <v>0</v>
      </c>
      <c r="F26" s="140" t="s">
        <v>179</v>
      </c>
      <c r="G26" s="177">
        <f>Fin_Analysis!H88*Exchange_Rate/G3</f>
        <v>4.0904198062432728E-2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4.5313813285480746</v>
      </c>
      <c r="D29" s="128">
        <f>G29*(1+G20)</f>
        <v>8.3680385866265681</v>
      </c>
      <c r="E29" s="87"/>
      <c r="F29" s="130">
        <f>IF(Fin_Analysis!C108="Profit",Fin_Analysis!F100,IF(Fin_Analysis!C108="Dividend",Fin_Analysis!F103,Fin_Analysis!F106))</f>
        <v>5.3310368571153823</v>
      </c>
      <c r="G29" s="286">
        <f>IF(Fin_Analysis!C108="Profit",Fin_Analysis!I100,IF(Fin_Analysis!C108="Dividend",Fin_Analysis!I103,Fin_Analysis!I106))</f>
        <v>7.276555292718756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1826856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USD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56863784</v>
      </c>
      <c r="D6" s="199">
        <f>IF(Inputs!D25="","",Inputs!D25)</f>
        <v>61946854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-8.205533730574921E-2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47060601</v>
      </c>
      <c r="D8" s="198">
        <f>IF(Inputs!D26="","",Inputs!D26)</f>
        <v>51445762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9803183</v>
      </c>
      <c r="D9" s="150">
        <f t="shared" si="2"/>
        <v>10501092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5826387</v>
      </c>
      <c r="D10" s="198">
        <f>IF(Inputs!D27="","",Inputs!D27)</f>
        <v>5613696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>
        <f>IF(Inputs!C28="","",Inputs!C28)</f>
        <v>2027532</v>
      </c>
      <c r="D11" s="198">
        <f>IF(Inputs!D28="","",Inputs!D28)</f>
        <v>2195329</v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122408</v>
      </c>
      <c r="D12" s="198">
        <f>IF(Inputs!D30="","",MAX(Inputs!D30,0)/(1-Fin_Analysis!$I$84))</f>
        <v>97478.666666666672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3.2126880617019786E-2</v>
      </c>
      <c r="D13" s="226">
        <f t="shared" si="3"/>
        <v>4.1884101706493981E-2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1826856</v>
      </c>
      <c r="D14" s="227">
        <f t="shared" ref="D14:M14" si="4">IF(D6="","",D9-D10-MAX(D11,0)-MAX(D12,0))</f>
        <v>2594588.3333333335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-0.29589755086388148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762805</v>
      </c>
      <c r="D17" s="198">
        <f>IF(Inputs!D29="","",Inputs!D29)</f>
        <v>657704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1064051</v>
      </c>
      <c r="D22" s="160">
        <f t="shared" ref="D22:M22" si="8">IF(D6="","",D14-MAX(D16,0)-MAX(D17,0)-ABS(MAX(D21,0)-MAX(D19,0)))</f>
        <v>1936884.3333333335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1.4034209366017569E-2</v>
      </c>
      <c r="D23" s="152">
        <f t="shared" si="9"/>
        <v>2.3450153739849322E-2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798038.25</v>
      </c>
      <c r="D24" s="77">
        <f>IF(D6="","",D22*(1-Fin_Analysis!$I$84))</f>
        <v>1452663.25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-0.45063781988014084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0.82760234528184051</v>
      </c>
      <c r="D40" s="155">
        <f t="shared" si="34"/>
        <v>0.830482238855907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0.1381181210170607</v>
      </c>
      <c r="D41" s="152">
        <f t="shared" si="35"/>
        <v>0.12606007401118385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1.3414601462329697E-2</v>
      </c>
      <c r="D43" s="152">
        <f t="shared" si="37"/>
        <v>1.0617230053361548E-2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2.152653084078963E-3</v>
      </c>
      <c r="D44" s="152">
        <f t="shared" si="38"/>
        <v>1.573585426415144E-3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1.8712279154690092E-2</v>
      </c>
      <c r="D46" s="152">
        <f t="shared" si="40"/>
        <v>3.1266871653132432E-2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0.71688763038613745</v>
      </c>
      <c r="D55" s="152">
        <f t="shared" si="47"/>
        <v>0.33956803133830221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Y</v>
      </c>
      <c r="G35" s="30">
        <f>IF(F35="Y",0,1)</f>
        <v>0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56863784</v>
      </c>
      <c r="D74" s="206"/>
      <c r="E74" s="235">
        <f>Inputs!E91</f>
        <v>56863784</v>
      </c>
      <c r="F74" s="206"/>
      <c r="H74" s="235">
        <f>Inputs!F91</f>
        <v>56863784</v>
      </c>
      <c r="I74" s="206"/>
      <c r="K74" s="24"/>
    </row>
    <row r="75" spans="1:11" ht="15" customHeight="1" x14ac:dyDescent="0.4">
      <c r="B75" s="104" t="s">
        <v>102</v>
      </c>
      <c r="C75" s="77">
        <f>Data!C8</f>
        <v>47060601</v>
      </c>
      <c r="D75" s="158">
        <f>C75/$C$74</f>
        <v>0.82760234528184051</v>
      </c>
      <c r="E75" s="235">
        <f>Inputs!E92</f>
        <v>47060601</v>
      </c>
      <c r="F75" s="159">
        <f>E75/E74</f>
        <v>0.82760234528184051</v>
      </c>
      <c r="H75" s="235">
        <f>Inputs!F92</f>
        <v>47060601</v>
      </c>
      <c r="I75" s="159">
        <f>H75/$H$74</f>
        <v>0.82760234528184051</v>
      </c>
      <c r="K75" s="24"/>
    </row>
    <row r="76" spans="1:11" ht="15" customHeight="1" x14ac:dyDescent="0.4">
      <c r="B76" s="35" t="s">
        <v>92</v>
      </c>
      <c r="C76" s="160">
        <f>C74-C75</f>
        <v>9803183</v>
      </c>
      <c r="D76" s="207"/>
      <c r="E76" s="161">
        <f>E74-E75</f>
        <v>9803183</v>
      </c>
      <c r="F76" s="207"/>
      <c r="H76" s="161">
        <f>H74-H75</f>
        <v>9803183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7853919</v>
      </c>
      <c r="D77" s="158">
        <f>C77/$C$74</f>
        <v>0.1381181210170607</v>
      </c>
      <c r="E77" s="235">
        <f>Inputs!E93</f>
        <v>7853919</v>
      </c>
      <c r="F77" s="159">
        <f>E77/E74</f>
        <v>0.1381181210170607</v>
      </c>
      <c r="H77" s="235">
        <f>Inputs!F93</f>
        <v>7853919</v>
      </c>
      <c r="I77" s="159">
        <f>H77/$H$74</f>
        <v>0.1381181210170607</v>
      </c>
      <c r="K77" s="24"/>
    </row>
    <row r="78" spans="1:11" ht="15" customHeight="1" x14ac:dyDescent="0.4">
      <c r="B78" s="73" t="s">
        <v>161</v>
      </c>
      <c r="C78" s="77">
        <f>MAX(Data!C12,0)</f>
        <v>122408</v>
      </c>
      <c r="D78" s="158">
        <f>C78/$C$74</f>
        <v>2.152653084078963E-3</v>
      </c>
      <c r="E78" s="179">
        <f>E74*F78</f>
        <v>122407.99999999999</v>
      </c>
      <c r="F78" s="159">
        <f>I78</f>
        <v>2.152653084078963E-3</v>
      </c>
      <c r="H78" s="235">
        <f>Inputs!F97</f>
        <v>122407.99999999999</v>
      </c>
      <c r="I78" s="159">
        <f>H78/$H$74</f>
        <v>2.152653084078963E-3</v>
      </c>
      <c r="K78" s="24"/>
    </row>
    <row r="79" spans="1:11" ht="15" customHeight="1" x14ac:dyDescent="0.4">
      <c r="B79" s="253" t="s">
        <v>217</v>
      </c>
      <c r="C79" s="254">
        <f>C76-C77-C78</f>
        <v>1826856</v>
      </c>
      <c r="D79" s="255">
        <f>C79/C74</f>
        <v>3.2126880617019786E-2</v>
      </c>
      <c r="E79" s="256">
        <f>E76-E77-E78</f>
        <v>1826856</v>
      </c>
      <c r="F79" s="255">
        <f>E79/E74</f>
        <v>3.2126880617019786E-2</v>
      </c>
      <c r="G79" s="257"/>
      <c r="H79" s="256">
        <f>H76-H77-H78</f>
        <v>1826856</v>
      </c>
      <c r="I79" s="255">
        <f>H79/H74</f>
        <v>3.2126880617019786E-2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762805</v>
      </c>
      <c r="D81" s="158">
        <f>C81/$C$74</f>
        <v>1.3414601462329697E-2</v>
      </c>
      <c r="E81" s="179">
        <f>E74*F81</f>
        <v>762805</v>
      </c>
      <c r="F81" s="159">
        <f>I81</f>
        <v>1.3414601462329697E-2</v>
      </c>
      <c r="H81" s="235">
        <f>Inputs!F94</f>
        <v>762805</v>
      </c>
      <c r="I81" s="159">
        <f>H81/$H$74</f>
        <v>1.3414601462329697E-2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1064051</v>
      </c>
      <c r="D83" s="163">
        <f>C83/$C$74</f>
        <v>1.8712279154690092E-2</v>
      </c>
      <c r="E83" s="164">
        <f>E79-E81-E82-E80</f>
        <v>1064051</v>
      </c>
      <c r="F83" s="163">
        <f>E83/E74</f>
        <v>1.8712279154690092E-2</v>
      </c>
      <c r="H83" s="164">
        <f>H79-H81-H82-H80</f>
        <v>1064051</v>
      </c>
      <c r="I83" s="163">
        <f>H83/$H$74</f>
        <v>1.8712279154690092E-2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798038.25</v>
      </c>
      <c r="D85" s="255">
        <f>C85/$C$74</f>
        <v>1.4034209366017569E-2</v>
      </c>
      <c r="E85" s="261">
        <f>E83*(1-F84)</f>
        <v>798038.25</v>
      </c>
      <c r="F85" s="255">
        <f>E85/E74</f>
        <v>1.4034209366017569E-2</v>
      </c>
      <c r="G85" s="257"/>
      <c r="H85" s="261">
        <f>H83*(1-I84)</f>
        <v>798038.25</v>
      </c>
      <c r="I85" s="255">
        <f>H85/$H$74</f>
        <v>1.4034209366017569E-2</v>
      </c>
      <c r="K85" s="24"/>
    </row>
    <row r="86" spans="1:11" ht="15" customHeight="1" x14ac:dyDescent="0.4">
      <c r="B86" s="87" t="s">
        <v>152</v>
      </c>
      <c r="C86" s="166">
        <f>C85*Data!C4/Common_Shares</f>
        <v>6.4333749970169066E-2</v>
      </c>
      <c r="D86" s="206"/>
      <c r="E86" s="167">
        <f>E85*Data!C4/Common_Shares</f>
        <v>6.4333749970169066E-2</v>
      </c>
      <c r="F86" s="206"/>
      <c r="H86" s="167">
        <f>H85*Data!C4/Common_Shares</f>
        <v>6.4333749970169066E-2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5.3835900085366088E-2</v>
      </c>
      <c r="D87" s="206"/>
      <c r="E87" s="259">
        <f>E86*Exchange_Rate/Dashboard!G3</f>
        <v>5.3835900085366088E-2</v>
      </c>
      <c r="F87" s="206"/>
      <c r="H87" s="259">
        <f>H86*Exchange_Rate/Dashboard!G3</f>
        <v>5.3835900085366088E-2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4.8880402235424544E-2</v>
      </c>
      <c r="D88" s="165">
        <f>C88/C86</f>
        <v>0.75979407788431286</v>
      </c>
      <c r="E88" s="169">
        <f>Inputs!E98</f>
        <v>4.8880402235424544E-2</v>
      </c>
      <c r="F88" s="165">
        <f>E88/E86</f>
        <v>0.75979407788431286</v>
      </c>
      <c r="H88" s="169">
        <f>Inputs!F98</f>
        <v>4.8880402235424544E-2</v>
      </c>
      <c r="I88" s="165">
        <f>H88/H86</f>
        <v>0.75979407788431286</v>
      </c>
      <c r="K88" s="24"/>
    </row>
    <row r="89" spans="1:11" ht="15" customHeight="1" x14ac:dyDescent="0.4">
      <c r="B89" s="87" t="s">
        <v>206</v>
      </c>
      <c r="C89" s="258">
        <f>C88*Exchange_Rate/Dashboard!G3</f>
        <v>4.0904198062432728E-2</v>
      </c>
      <c r="D89" s="206"/>
      <c r="E89" s="258">
        <f>E88*Exchange_Rate/Dashboard!G3</f>
        <v>4.0904198062432728E-2</v>
      </c>
      <c r="F89" s="206"/>
      <c r="H89" s="258">
        <f>H88*Exchange_Rate/Dashboard!G3</f>
        <v>4.0904198062432728E-2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195</v>
      </c>
      <c r="F93" s="143">
        <f>FV(E87,D93,0,-(E86/(C93-D94)))*Exchange_Rate</f>
        <v>10.722619299386432</v>
      </c>
      <c r="H93" s="87" t="s">
        <v>195</v>
      </c>
      <c r="I93" s="143">
        <f>FV(H87,D93,0,-(H86/(C93-D94)))*Exchange_Rate</f>
        <v>10.722619299386432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7.6592394220341502</v>
      </c>
      <c r="H94" s="87" t="s">
        <v>196</v>
      </c>
      <c r="I94" s="143">
        <f>FV(H89,D93,0,-(H88/(C93-D94)))*Exchange_Rate</f>
        <v>7.6592394220341502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66129695.938921176</v>
      </c>
      <c r="D97" s="210"/>
      <c r="E97" s="122">
        <f>PV(C94,D93,0,-F93)</f>
        <v>5.3310368571153823</v>
      </c>
      <c r="F97" s="210"/>
      <c r="H97" s="122">
        <f>PV(C94,D93,0,-I93)</f>
        <v>5.3310368571153823</v>
      </c>
      <c r="I97" s="122">
        <f>PV(C93,D93,0,-I93)</f>
        <v>7.276555292718756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66129695.938921176</v>
      </c>
      <c r="D100" s="109">
        <f>MIN(F100*(1-C94),E100)</f>
        <v>4.5313813285480746</v>
      </c>
      <c r="E100" s="109">
        <f>MAX(E97+H98+E99,0)</f>
        <v>5.3310368571153823</v>
      </c>
      <c r="F100" s="109">
        <f>(E100+H100)/2</f>
        <v>5.3310368571153823</v>
      </c>
      <c r="H100" s="109">
        <f>MAX(C100*Data!$C$4/Common_Shares,0)</f>
        <v>5.3310368571153823</v>
      </c>
      <c r="I100" s="109">
        <f>MAX(I97+H98+H99,0)</f>
        <v>7.276555292718756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47236888.67061612</v>
      </c>
      <c r="D103" s="109">
        <f>MIN(F103*(1-C94),E103)</f>
        <v>3.2367963031076643</v>
      </c>
      <c r="E103" s="122">
        <f>PV(C94,D93,0,-F94)</f>
        <v>3.8079956507148993</v>
      </c>
      <c r="F103" s="109">
        <f>(E103+H103)/2</f>
        <v>3.8079956507148993</v>
      </c>
      <c r="H103" s="122">
        <f>PV(C94,D93,0,-I94)</f>
        <v>3.8079956507148993</v>
      </c>
      <c r="I103" s="109">
        <f>PV(C93,D93,0,-I94)</f>
        <v>5.1976926158137386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56683292.304768644</v>
      </c>
      <c r="D106" s="109">
        <f>(D100+D103)/2</f>
        <v>3.8840888158278695</v>
      </c>
      <c r="E106" s="122">
        <f>(E100+E103)/2</f>
        <v>4.5695162539151406</v>
      </c>
      <c r="F106" s="109">
        <f>(F100+F103)/2</f>
        <v>4.5695162539151406</v>
      </c>
      <c r="H106" s="122">
        <f>(H100+H103)/2</f>
        <v>4.5695162539151406</v>
      </c>
      <c r="I106" s="122">
        <f>(I100+I103)/2</f>
        <v>6.2371239542662469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