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60E95AE-0574-4CE7-9E89-3CE1AC56ECC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F97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<sst xmlns="http://schemas.openxmlformats.org/spreadsheetml/2006/main" count="392" uniqueCount="276">
  <si>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</si>
  <si>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</si>
  <si>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</si>
  <si>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</si>
  <si>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</si>
  <si>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</si>
  <si>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</si>
  <si>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</si>
  <si>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</si>
  <si>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</si>
  <si>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</si>
  <si>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</si>
  <si>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</si>
  <si>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</si>
  <si>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</si>
  <si>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</si>
  <si>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</si>
  <si>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</si>
  <si>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</si>
  <si>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</si>
  <si>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</si>
  <si>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</si>
  <si>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</si>
  <si>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</si>
  <si>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</si>
  <si>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</si>
  <si>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</si>
  <si>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</si>
  <si>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</si>
  <si>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</si>
  <si>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</si>
  <si>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</si>
  <si>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</si>
  <si>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</si>
  <si>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</si>
  <si>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</si>
  <si>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</si>
  <si>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</si>
  <si>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</si>
  <si>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</si>
  <si>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</si>
  <si>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</si>
  <si>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</si>
  <si>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</si>
  <si>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</si>
  <si>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</si>
  <si>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</si>
  <si>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</si>
  <si>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</si>
  <si>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</si>
  <si>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</si>
  <si>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</si>
  <si>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</si>
  <si>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</si>
  <si>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</si>
  <si>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</si>
  <si>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</si>
  <si>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</si>
  <si>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</si>
  <si>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</si>
  <si>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</si>
  <si>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</si>
  <si>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</si>
  <si>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</si>
  <si>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</si>
  <si>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</si>
  <si>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</si>
  <si>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</si>
  <si>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</si>
  <si>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</si>
  <si>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</si>
  <si>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</si>
  <si>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</si>
  <si>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</si>
  <si>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</si>
  <si>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</si>
  <si>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</si>
  <si>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</si>
  <si>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</si>
  <si>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</si>
  <si>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</si>
  <si>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</si>
  <si>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</si>
  <si>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</si>
  <si>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</si>
  <si>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</si>
  <si>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</si>
  <si>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</si>
  <si>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</si>
  <si>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</si>
  <si>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</si>
  <si>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</si>
  <si>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</si>
  <si>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</si>
  <si>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</si>
  <si>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</si>
  <si>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</si>
  <si>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</si>
  <si>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</si>
  <si>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</si>
  <si>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</si>
  <si>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</si>
  <si>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</si>
  <si>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</si>
  <si>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</si>
  <si>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</si>
  <si>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</si>
  <si>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</si>
  <si>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</si>
  <si>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</si>
  <si>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</si>
  <si>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</si>
  <si>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</si>
  <si>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</si>
  <si>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</si>
  <si>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</si>
  <si>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</si>
  <si>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</si>
  <si>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</si>
  <si>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</si>
  <si>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</si>
  <si>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</si>
  <si>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</si>
  <si>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</si>
  <si>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</si>
  <si>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</si>
  <si>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</si>
  <si>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</si>
  <si>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</si>
  <si>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</si>
  <si>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</si>
  <si>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</si>
  <si>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</si>
  <si>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</si>
  <si>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</si>
  <si>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</si>
  <si>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</si>
  <si>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</si>
  <si>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</si>
  <si>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</si>
  <si>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</si>
  <si>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</si>
  <si>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</si>
  <si>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</si>
  <si>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</si>
  <si>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</si>
  <si>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</si>
  <si>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</si>
  <si>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</si>
  <si>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</si>
  <si>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</si>
  <si>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</si>
  <si>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</si>
  <si>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</si>
  <si>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</si>
  <si>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</si>
  <si>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</si>
  <si>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</si>
  <si>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</si>
  <si>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</si>
  <si>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</si>
  <si>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</si>
  <si>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</si>
  <si>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</si>
  <si>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</si>
  <si>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</si>
  <si>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</si>
  <si>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</si>
  <si>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</si>
  <si>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</si>
  <si>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</si>
  <si>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</si>
  <si>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</si>
  <si>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</si>
  <si>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</si>
  <si>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</si>
  <si>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</si>
  <si>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</si>
  <si>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</si>
  <si>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</si>
  <si>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</si>
  <si>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</si>
  <si>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</si>
  <si>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</si>
  <si>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</si>
  <si>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</si>
  <si>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</si>
  <si>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</si>
  <si>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</si>
  <si>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</si>
  <si>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</si>
  <si>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</si>
  <si>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</si>
  <si>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</si>
  <si>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</si>
  <si>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</si>
  <si>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</si>
  <si>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</si>
  <si>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</si>
  <si>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</si>
  <si>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</si>
  <si>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</si>
  <si>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</si>
  <si>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</si>
  <si>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</si>
  <si>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</si>
  <si>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</si>
  <si>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</si>
  <si>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</si>
  <si>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</si>
  <si>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</si>
  <si>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</si>
  <si>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</si>
  <si>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</si>
  <si>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</si>
  <si>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</si>
  <si>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</si>
  <si>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</si>
  <si>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</si>
  <si>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</si>
  <si>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</si>
  <si>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</si>
  <si>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</si>
  <si>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</si>
  <si>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</si>
  <si>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</si>
  <si>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</si>
  <si>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</si>
  <si>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</si>
  <si>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</si>
  <si>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</si>
  <si>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</si>
  <si>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</si>
  <si>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</si>
  <si>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</si>
  <si>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</si>
  <si>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</si>
  <si>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</si>
  <si>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</si>
  <si>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</si>
  <si>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</si>
  <si>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</si>
  <si>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</si>
  <si>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</si>
  <si>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</si>
  <si>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</si>
  <si>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</si>
  <si>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</si>
  <si>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</si>
  <si>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</si>
  <si>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</si>
  <si>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</si>
  <si>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</si>
  <si>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</si>
  <si>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</si>
  <si>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</si>
  <si>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</si>
  <si>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</si>
  <si>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</si>
  <si>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</si>
  <si>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</si>
  <si>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</si>
  <si>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</si>
  <si>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</si>
  <si>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</si>
  <si>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</si>
  <si>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1658.HK</t>
  </si>
  <si>
    <t>邮储银行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</si>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</sst>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266</v>
      </c>
    </row>
    <row r="5" spans="1:5" ht="13.9" x14ac:dyDescent="0.4">
      <c r="B5" s="140" t="s">
        <v>181</v>
      </c>
      <c r="C5" s="190" t="s">
        <v>267</v>
      </c>
    </row>
    <row r="6" spans="1:5" ht="13.9" x14ac:dyDescent="0.4">
      <c r="B6" s="140" t="s">
        <v>155</v>
      </c>
      <c r="C6" s="188">
        <v>45606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268</v>
      </c>
      <c r="E8" s="264"/>
    </row>
    <row r="9" spans="1:5" ht="13.9" x14ac:dyDescent="0.4">
      <c r="B9" s="139" t="s">
        <v>202</v>
      </c>
      <c r="C9" s="191" t="s">
        <v>269</v>
      </c>
    </row>
    <row r="10" spans="1:5" ht="13.9" x14ac:dyDescent="0.4">
      <c r="B10" s="139" t="s">
        <v>203</v>
      </c>
      <c r="C10" s="192">
        <v>99161076038</v>
      </c>
    </row>
    <row r="11" spans="1:5" ht="13.9" x14ac:dyDescent="0.4">
      <c r="B11" s="139" t="s">
        <v>204</v>
      </c>
      <c r="C11" s="191" t="s">
        <v>270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236</v>
      </c>
      <c r="C15" s="175" t="s">
        <v>240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271</v>
      </c>
      <c r="D17" s="24"/>
    </row>
    <row r="18" spans="2:13" ht="13.9" x14ac:dyDescent="0.4">
      <c r="B18" s="237" t="s">
        <v>223</v>
      </c>
      <c r="C18" s="239" t="s">
        <v>272</v>
      </c>
      <c r="D18" s="24"/>
    </row>
    <row r="19" spans="2:13" ht="13.9" x14ac:dyDescent="0.4">
      <c r="B19" s="237" t="s">
        <v>224</v>
      </c>
      <c r="C19" s="239" t="s">
        <v>272</v>
      </c>
      <c r="D19" s="24"/>
    </row>
    <row r="20" spans="2:13" ht="13.9" x14ac:dyDescent="0.4">
      <c r="B20" s="238" t="s">
        <v>213</v>
      </c>
      <c r="C20" s="239" t="s">
        <v>272</v>
      </c>
      <c r="D20" s="24"/>
    </row>
    <row r="21" spans="2:13" ht="13.9" x14ac:dyDescent="0.4">
      <c r="B21" s="221" t="s">
        <v>216</v>
      </c>
      <c r="C21" s="239" t="s">
        <v>271</v>
      </c>
      <c r="D21" s="24"/>
    </row>
    <row r="22" spans="2:13" ht="78.75" x14ac:dyDescent="0.4">
      <c r="B22" s="223" t="s">
        <v>215</v>
      </c>
      <c r="C22" s="240" t="s">
        <v>273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549431</v>
      </c>
      <c r="D25" s="148">
        <v>523985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49019</v>
      </c>
      <c r="D26" s="149">
        <v>56639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225142</v>
      </c>
      <c r="D27" s="149">
        <v>208680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237</v>
      </c>
      <c r="C29" s="149">
        <v>216524</v>
      </c>
      <c r="D29" s="149">
        <v>200647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154</v>
      </c>
      <c r="D30" s="149">
        <v>131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261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259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260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0.261+0.1477</f>
        <v>0.40870000000000001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233</v>
      </c>
      <c r="C45" s="151">
        <f>IF(C44="","",C44*Exchange_Rate/Dashboard!$G$3)</f>
        <v>9.7452446963815442E-2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231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242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241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264</v>
      </c>
      <c r="C82" s="214"/>
    </row>
    <row r="83" spans="2:8" ht="14.25" hidden="1" thickTop="1" x14ac:dyDescent="0.4">
      <c r="B83" s="73" t="s">
        <v>265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6">
        <v>5</v>
      </c>
    </row>
    <row r="87" spans="2:8" ht="13.9" x14ac:dyDescent="0.4">
      <c r="B87" s="10" t="s">
        <v>230</v>
      </c>
      <c r="C87" s="233" t="s">
        <v>274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549431</v>
      </c>
      <c r="D91" s="206"/>
      <c r="E91" s="248">
        <f>C91</f>
        <v>549431</v>
      </c>
      <c r="F91" s="248">
        <f>C91</f>
        <v>549431</v>
      </c>
    </row>
    <row r="92" spans="2:8" ht="13.9" x14ac:dyDescent="0.4">
      <c r="B92" s="104" t="s">
        <v>102</v>
      </c>
      <c r="C92" s="77">
        <f>C26</f>
        <v>49019</v>
      </c>
      <c r="D92" s="158">
        <f>C92/C91</f>
        <v>8.9217754367700408E-2</v>
      </c>
      <c r="E92" s="249">
        <f>E91*D92</f>
        <v>49019</v>
      </c>
      <c r="F92" s="249">
        <f>F91*D92</f>
        <v>49019</v>
      </c>
    </row>
    <row r="93" spans="2:8" ht="13.9" x14ac:dyDescent="0.4">
      <c r="B93" s="104" t="s">
        <v>229</v>
      </c>
      <c r="C93" s="77">
        <f>C27+C28</f>
        <v>225142</v>
      </c>
      <c r="D93" s="158">
        <f>C93/C91</f>
        <v>0.40977301972404179</v>
      </c>
      <c r="E93" s="249">
        <f>E91*D93</f>
        <v>225142</v>
      </c>
      <c r="F93" s="249">
        <f>F91*D93</f>
        <v>225142</v>
      </c>
    </row>
    <row r="94" spans="2:8" ht="13.9" x14ac:dyDescent="0.4">
      <c r="B94" s="104" t="s">
        <v>237</v>
      </c>
      <c r="C94" s="77">
        <f>C29</f>
        <v>216524</v>
      </c>
      <c r="D94" s="158">
        <f>C94/C91</f>
        <v>0.39408770164042439</v>
      </c>
      <c r="E94" s="250"/>
      <c r="F94" s="249">
        <f>F91*D94</f>
        <v>216524</v>
      </c>
    </row>
    <row r="95" spans="2:8" ht="13.9" x14ac:dyDescent="0.4">
      <c r="B95" s="28" t="s">
        <v>228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205.33333333333334</v>
      </c>
      <c r="D97" s="158">
        <f>C97/C91</f>
        <v>3.7371996362297238E-4</v>
      </c>
      <c r="E97" s="250"/>
      <c r="F97" s="249">
        <f>F91*D97</f>
        <v>205.33333333333334</v>
      </c>
    </row>
    <row r="98" spans="2:7" ht="13.9" x14ac:dyDescent="0.4">
      <c r="B98" s="86" t="s">
        <v>193</v>
      </c>
      <c r="C98" s="234">
        <f>C44</f>
        <v>0.40870000000000001</v>
      </c>
      <c r="D98" s="263"/>
      <c r="E98" s="251">
        <f>F98</f>
        <v>0.26100000000000001</v>
      </c>
      <c r="F98" s="251">
        <v>0.26100000000000001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1658.HK : 邮储银行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1658.HK</v>
      </c>
      <c r="D3" s="290"/>
      <c r="E3" s="87"/>
      <c r="F3" s="3" t="s">
        <v>1</v>
      </c>
      <c r="G3" s="131">
        <v>4.4800000000000004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邮储银行</v>
      </c>
      <c r="D4" s="292"/>
      <c r="E4" s="87"/>
      <c r="F4" s="3" t="s">
        <v>2</v>
      </c>
      <c r="G4" s="295">
        <f>Inputs!C10</f>
        <v>99161076038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45606</v>
      </c>
      <c r="D5" s="294"/>
      <c r="E5" s="34"/>
      <c r="F5" s="35" t="s">
        <v>96</v>
      </c>
      <c r="G5" s="287">
        <f>G3*G4/1000000</f>
        <v>444241.62065024005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C0014</v>
      </c>
      <c r="E7" s="87"/>
      <c r="F7" s="35" t="s">
        <v>5</v>
      </c>
      <c r="G7" s="132">
        <v>1.0682333310445149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234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235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258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249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247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262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254</v>
      </c>
      <c r="C23" s="279">
        <f>Data!C13</f>
        <v>0.50063550594463491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255</v>
      </c>
      <c r="C24" s="170">
        <f>Fin_Analysis!I81</f>
        <v>0.39408770164042439</v>
      </c>
      <c r="F24" s="139" t="s">
        <v>239</v>
      </c>
      <c r="G24" s="265">
        <f>G3/(Fin_Analysis!H86*G7)</f>
        <v>9.4718365006526088</v>
      </c>
    </row>
    <row r="25" spans="1:8" ht="15.75" customHeight="1" x14ac:dyDescent="0.4">
      <c r="B25" s="136" t="s">
        <v>256</v>
      </c>
      <c r="C25" s="170">
        <f>Fin_Analysis!I80</f>
        <v>0</v>
      </c>
      <c r="F25" s="139" t="s">
        <v>162</v>
      </c>
      <c r="G25" s="170">
        <f>Fin_Analysis!I88</f>
        <v>0.58947149778314767</v>
      </c>
    </row>
    <row r="26" spans="1:8" ht="15.75" customHeight="1" x14ac:dyDescent="0.4">
      <c r="B26" s="137" t="s">
        <v>257</v>
      </c>
      <c r="C26" s="170">
        <f>Fin_Analysis!I80+Fin_Analysis!I82</f>
        <v>0</v>
      </c>
      <c r="F26" s="140" t="s">
        <v>179</v>
      </c>
      <c r="G26" s="177">
        <f>Fin_Analysis!H88*Exchange_Rate/G3</f>
        <v>6.22341293309416E-2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238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2.4052029554234973</v>
      </c>
      <c r="D29" s="128">
        <f>G29*(1+G20)</f>
        <v>4.3278370242818642</v>
      </c>
      <c r="E29" s="87"/>
      <c r="F29" s="130">
        <f>IF(Fin_Analysis!C108="Profit",Fin_Analysis!F100,IF(Fin_Analysis!C108="Dividend",Fin_Analysis!F103,Fin_Analysis!F106))</f>
        <v>2.8296505357923496</v>
      </c>
      <c r="G29" s="286">
        <f>IF(Fin_Analysis!C108="Profit",Fin_Analysis!I100,IF(Fin_Analysis!C108="Dividend",Fin_Analysis!I103,Fin_Analysis!I106))</f>
        <v>3.763336542853795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Strongly 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agree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275064.66666666669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549431</v>
      </c>
      <c r="D6" s="199">
        <f>IF(Inputs!D25="","",Inputs!D25)</f>
        <v>523985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4.856245884901278E-2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49019</v>
      </c>
      <c r="D8" s="198">
        <f>IF(Inputs!D26="","",Inputs!D26)</f>
        <v>56639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500412</v>
      </c>
      <c r="D9" s="150">
        <f t="shared" si="2"/>
        <v>467346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225142</v>
      </c>
      <c r="D10" s="198">
        <f>IF(Inputs!D27="","",Inputs!D27)</f>
        <v>208680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205.33333333333334</v>
      </c>
      <c r="D12" s="198">
        <f>IF(Inputs!D30="","",MAX(Inputs!D30,0)/(1-Fin_Analysis!$I$84))</f>
        <v>174.66666666666666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0.50063550594463491</v>
      </c>
      <c r="D13" s="226">
        <f t="shared" si="3"/>
        <v>0.49331819295081603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275064.66666666669</v>
      </c>
      <c r="D14" s="227">
        <f t="shared" ref="D14:M14" si="4">IF(D6="","",D9-D10-MAX(D11,0)-MAX(D12,0))</f>
        <v>258491.33333333334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6.4115624766272014E-2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237</v>
      </c>
      <c r="C17" s="198">
        <f>IF(Inputs!C29="","",Inputs!C29)</f>
        <v>216524</v>
      </c>
      <c r="D17" s="198">
        <f>IF(Inputs!D29="","",Inputs!D29)</f>
        <v>200647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58540.666666666686</v>
      </c>
      <c r="D22" s="160">
        <f t="shared" ref="D22:M22" si="8">IF(D6="","",D14-MAX(D16,0)-MAX(D17,0)-ABS(MAX(D21,0)-MAX(D19,0)))</f>
        <v>57844.333333333343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7.9910853228157885E-2</v>
      </c>
      <c r="D23" s="152">
        <f t="shared" si="9"/>
        <v>8.2794831913127295E-2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43905.500000000015</v>
      </c>
      <c r="D24" s="77">
        <f>IF(D6="","",D22*(1-Fin_Analysis!$I$84))</f>
        <v>43383.250000000007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1.2038056162228675E-2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259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8.9217754367700408E-2</v>
      </c>
      <c r="D40" s="155">
        <f t="shared" si="34"/>
        <v>0.10809278891571324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0.40977301972404179</v>
      </c>
      <c r="D41" s="152">
        <f t="shared" si="35"/>
        <v>0.39825567525787953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0.39408770164042439</v>
      </c>
      <c r="D43" s="152">
        <f t="shared" si="37"/>
        <v>0.38292508373331297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3.7371996362297238E-4</v>
      </c>
      <c r="D44" s="152">
        <f t="shared" si="38"/>
        <v>3.3334287559122239E-4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0.10654780430421051</v>
      </c>
      <c r="D46" s="152">
        <f t="shared" si="40"/>
        <v>0.11039310921750306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245</v>
      </c>
      <c r="C47" s="280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251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252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253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243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247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3.6986937855166198</v>
      </c>
      <c r="D55" s="152">
        <f t="shared" si="47"/>
        <v>3.4687408158678745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248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249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250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549431</v>
      </c>
      <c r="D74" s="206"/>
      <c r="E74" s="235">
        <f>Inputs!E91</f>
        <v>549431</v>
      </c>
      <c r="F74" s="206"/>
      <c r="H74" s="235">
        <f>Inputs!F91</f>
        <v>549431</v>
      </c>
      <c r="I74" s="206"/>
      <c r="K74" s="24"/>
    </row>
    <row r="75" spans="1:11" ht="15" customHeight="1" x14ac:dyDescent="0.4">
      <c r="B75" s="104" t="s">
        <v>102</v>
      </c>
      <c r="C75" s="77">
        <f>Data!C8</f>
        <v>49019</v>
      </c>
      <c r="D75" s="158">
        <f>C75/$C$74</f>
        <v>8.9217754367700408E-2</v>
      </c>
      <c r="E75" s="235">
        <f>Inputs!E92</f>
        <v>49019</v>
      </c>
      <c r="F75" s="159">
        <f>E75/E74</f>
        <v>8.9217754367700408E-2</v>
      </c>
      <c r="H75" s="235">
        <f>Inputs!F92</f>
        <v>49019</v>
      </c>
      <c r="I75" s="159">
        <f>H75/$H$74</f>
        <v>8.9217754367700408E-2</v>
      </c>
      <c r="K75" s="24"/>
    </row>
    <row r="76" spans="1:11" ht="15" customHeight="1" x14ac:dyDescent="0.4">
      <c r="B76" s="35" t="s">
        <v>92</v>
      </c>
      <c r="C76" s="160">
        <f>C74-C75</f>
        <v>500412</v>
      </c>
      <c r="D76" s="207"/>
      <c r="E76" s="161">
        <f>E74-E75</f>
        <v>500412</v>
      </c>
      <c r="F76" s="207"/>
      <c r="H76" s="161">
        <f>H74-H75</f>
        <v>500412</v>
      </c>
      <c r="I76" s="207"/>
      <c r="K76" s="24"/>
    </row>
    <row r="77" spans="1:11" ht="15" customHeight="1" x14ac:dyDescent="0.4">
      <c r="B77" s="104" t="s">
        <v>229</v>
      </c>
      <c r="C77" s="77">
        <f>Data!C10+MAX(Data!C11,0)</f>
        <v>225142</v>
      </c>
      <c r="D77" s="158">
        <f>C77/$C$74</f>
        <v>0.40977301972404179</v>
      </c>
      <c r="E77" s="235">
        <f>Inputs!E93</f>
        <v>225142</v>
      </c>
      <c r="F77" s="159">
        <f>E77/E74</f>
        <v>0.40977301972404179</v>
      </c>
      <c r="H77" s="235">
        <f>Inputs!F93</f>
        <v>225142</v>
      </c>
      <c r="I77" s="159">
        <f>H77/$H$74</f>
        <v>0.40977301972404179</v>
      </c>
      <c r="K77" s="24"/>
    </row>
    <row r="78" spans="1:11" ht="15" customHeight="1" x14ac:dyDescent="0.4">
      <c r="B78" s="73" t="s">
        <v>161</v>
      </c>
      <c r="C78" s="77">
        <f>MAX(Data!C12,0)</f>
        <v>205.33333333333334</v>
      </c>
      <c r="D78" s="158">
        <f>C78/$C$74</f>
        <v>3.7371996362297238E-4</v>
      </c>
      <c r="E78" s="179">
        <f>E74*F78</f>
        <v>205.33333333333334</v>
      </c>
      <c r="F78" s="159">
        <f>I78</f>
        <v>3.7371996362297238E-4</v>
      </c>
      <c r="H78" s="235">
        <f>Inputs!F97</f>
        <v>205.33333333333334</v>
      </c>
      <c r="I78" s="159">
        <f>H78/$H$74</f>
        <v>3.7371996362297238E-4</v>
      </c>
      <c r="K78" s="24"/>
    </row>
    <row r="79" spans="1:11" ht="15" customHeight="1" x14ac:dyDescent="0.4">
      <c r="B79" s="253" t="s">
        <v>217</v>
      </c>
      <c r="C79" s="254">
        <f>C76-C77-C78</f>
        <v>275064.66666666669</v>
      </c>
      <c r="D79" s="255">
        <f>C79/C74</f>
        <v>0.50063550594463491</v>
      </c>
      <c r="E79" s="256">
        <f>E76-E77-E78</f>
        <v>275064.66666666669</v>
      </c>
      <c r="F79" s="255">
        <f>E79/E74</f>
        <v>0.50063550594463491</v>
      </c>
      <c r="G79" s="257"/>
      <c r="H79" s="256">
        <f>H76-H77-H78</f>
        <v>275064.66666666669</v>
      </c>
      <c r="I79" s="255">
        <f>H79/H74</f>
        <v>0.50063550594463491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237</v>
      </c>
      <c r="C81" s="77">
        <f>MAX(Data!C17,0)</f>
        <v>216524</v>
      </c>
      <c r="D81" s="158">
        <f>C81/$C$74</f>
        <v>0.39408770164042439</v>
      </c>
      <c r="E81" s="179">
        <f>E74*F81</f>
        <v>216524</v>
      </c>
      <c r="F81" s="159">
        <f>I81</f>
        <v>0.39408770164042439</v>
      </c>
      <c r="H81" s="235">
        <f>Inputs!F94</f>
        <v>216524</v>
      </c>
      <c r="I81" s="159">
        <f>H81/$H$74</f>
        <v>0.39408770164042439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58540.666666666686</v>
      </c>
      <c r="D83" s="163">
        <f>C83/$C$74</f>
        <v>0.10654780430421051</v>
      </c>
      <c r="E83" s="164">
        <f>E79-E81-E82-E80</f>
        <v>58540.666666666686</v>
      </c>
      <c r="F83" s="163">
        <f>E83/E74</f>
        <v>0.10654780430421051</v>
      </c>
      <c r="H83" s="164">
        <f>H79-H81-H82-H80</f>
        <v>58540.666666666686</v>
      </c>
      <c r="I83" s="163">
        <f>H83/$H$74</f>
        <v>0.10654780430421051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43905.500000000015</v>
      </c>
      <c r="D85" s="255">
        <f>C85/$C$74</f>
        <v>7.9910853228157885E-2</v>
      </c>
      <c r="E85" s="261">
        <f>E83*(1-F84)</f>
        <v>43905.500000000015</v>
      </c>
      <c r="F85" s="255">
        <f>E85/E74</f>
        <v>7.9910853228157885E-2</v>
      </c>
      <c r="G85" s="257"/>
      <c r="H85" s="261">
        <f>H83*(1-I84)</f>
        <v>43905.500000000015</v>
      </c>
      <c r="I85" s="255">
        <f>H85/$H$74</f>
        <v>7.9910853228157885E-2</v>
      </c>
      <c r="K85" s="24"/>
    </row>
    <row r="86" spans="1:11" ht="15" customHeight="1" x14ac:dyDescent="0.4">
      <c r="B86" s="87" t="s">
        <v>152</v>
      </c>
      <c r="C86" s="166">
        <f>C85*Data!C4/Common_Shares</f>
        <v>0.44276949942712174</v>
      </c>
      <c r="D86" s="206"/>
      <c r="E86" s="167">
        <f>E85*Data!C4/Common_Shares</f>
        <v>0.44276949942712174</v>
      </c>
      <c r="F86" s="206"/>
      <c r="H86" s="167">
        <f>H85*Data!C4/Common_Shares</f>
        <v>0.44276949942712174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0.10557614670936308</v>
      </c>
      <c r="D87" s="206"/>
      <c r="E87" s="259">
        <f>E86*Exchange_Rate/Dashboard!G3</f>
        <v>0.10557614670936308</v>
      </c>
      <c r="F87" s="206"/>
      <c r="H87" s="259">
        <f>H86*Exchange_Rate/Dashboard!G3</f>
        <v>0.10557614670936308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0.40870000000000001</v>
      </c>
      <c r="D88" s="165">
        <f>C88/C86</f>
        <v>0.92305364422977954</v>
      </c>
      <c r="E88" s="169">
        <f>Inputs!E98</f>
        <v>0.26100000000000001</v>
      </c>
      <c r="F88" s="165">
        <f>E88/E86</f>
        <v>0.58947149778314767</v>
      </c>
      <c r="H88" s="169">
        <f>Inputs!F98</f>
        <v>0.26100000000000001</v>
      </c>
      <c r="I88" s="165">
        <f>H88/H86</f>
        <v>0.58947149778314767</v>
      </c>
      <c r="K88" s="24"/>
    </row>
    <row r="89" spans="1:11" ht="15" customHeight="1" x14ac:dyDescent="0.4">
      <c r="B89" s="87" t="s">
        <v>206</v>
      </c>
      <c r="C89" s="258">
        <f>C88*Exchange_Rate/Dashboard!G3</f>
        <v>9.7452446963815442E-2</v>
      </c>
      <c r="D89" s="206"/>
      <c r="E89" s="258">
        <f>E88*Exchange_Rate/Dashboard!G3</f>
        <v>6.22341293309416E-2</v>
      </c>
      <c r="F89" s="206"/>
      <c r="H89" s="258">
        <f>H88*Exchange_Rate/Dashboard!G3</f>
        <v>6.22341293309416E-2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11.792373842532173</v>
      </c>
      <c r="H93" s="87" t="s">
        <v>195</v>
      </c>
      <c r="I93" s="143">
        <f>FV(H87,D93,0,-(H86/(C93-D94)))*Exchange_Rate</f>
        <v>11.792373842532173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5.6914379432791664</v>
      </c>
      <c r="H94" s="87" t="s">
        <v>196</v>
      </c>
      <c r="I94" s="143">
        <f>FV(H89,D93,0,-(H88/(C93-D94)))*Exchange_Rate</f>
        <v>5.6914379432791664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581370.870641471</v>
      </c>
      <c r="D97" s="210"/>
      <c r="E97" s="122">
        <f>PV(C94,D93,0,-F93)</f>
        <v>5.8628939284470958</v>
      </c>
      <c r="F97" s="210"/>
      <c r="H97" s="122">
        <f>PV(C94,D93,0,-I93)</f>
        <v>5.8628939284470958</v>
      </c>
      <c r="I97" s="122">
        <f>PV(C93,D93,0,-I93)</f>
        <v>7.79744448606347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581370.870641471</v>
      </c>
      <c r="D100" s="109">
        <f>MIN(F100*(1-C94),E100)</f>
        <v>4.9834598391800302</v>
      </c>
      <c r="E100" s="109">
        <f>MAX(E97+H98+E99,0)</f>
        <v>5.8628939284470958</v>
      </c>
      <c r="F100" s="109">
        <f>(E100+H100)/2</f>
        <v>5.8628939284470949</v>
      </c>
      <c r="H100" s="109">
        <f>MAX(C100*Data!$C$4/Common_Shares,0)</f>
        <v>5.8628939284470949</v>
      </c>
      <c r="I100" s="109">
        <f>MAX(I97+H98+H99,0)</f>
        <v>7.79744448606347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280591.19194067258</v>
      </c>
      <c r="D103" s="109">
        <f>MIN(F103*(1-C94),E103)</f>
        <v>2.4052029554234973</v>
      </c>
      <c r="E103" s="122">
        <f>PV(C94,D93,0,-F94)</f>
        <v>2.8296505357923496</v>
      </c>
      <c r="F103" s="109">
        <f>(E103+H103)/2</f>
        <v>2.8296505357923496</v>
      </c>
      <c r="H103" s="122">
        <f>PV(C94,D93,0,-I94)</f>
        <v>2.8296505357923496</v>
      </c>
      <c r="I103" s="109">
        <f>PV(C93,D93,0,-I94)</f>
        <v>3.763336542853795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430981.03129107179</v>
      </c>
      <c r="D106" s="109">
        <f>(D100+D103)/2</f>
        <v>3.694331397301764</v>
      </c>
      <c r="E106" s="122">
        <f>(E100+E103)/2</f>
        <v>4.3462722321197225</v>
      </c>
      <c r="F106" s="109">
        <f>(F100+F103)/2</f>
        <v>4.3462722321197225</v>
      </c>
      <c r="H106" s="122">
        <f>(H100+H103)/2</f>
        <v>4.3462722321197225</v>
      </c>
      <c r="I106" s="122">
        <f>(I100+I103)/2</f>
        <v>5.7803905144586327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