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B708D26-CE1D-4FF9-8F30-2D65D75E590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E95" i="4"/>
  <c r="F95" i="4"/>
  <c r="F96" i="4"/>
  <c r="E92" i="4"/>
  <c r="F97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<sst xmlns="http://schemas.openxmlformats.org/spreadsheetml/2006/main" count="392" uniqueCount="276">
  <si>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</si>
  <si>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</si>
  <si>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</si>
  <si>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</si>
  <si>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</si>
  <si>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</si>
  <si>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</si>
  <si>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</si>
  <si>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</si>
  <si>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</si>
  <si>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</si>
  <si>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</si>
  <si>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</si>
  <si>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</si>
  <si>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</si>
  <si>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</si>
  <si>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</si>
  <si>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</si>
  <si>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</si>
  <si>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</si>
  <si>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</si>
  <si>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</si>
  <si>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</si>
  <si>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</si>
  <si>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</si>
  <si>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</si>
  <si>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</si>
  <si>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</si>
  <si>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</si>
  <si>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</si>
  <si>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</si>
  <si>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</si>
  <si>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</si>
  <si>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</si>
  <si>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</si>
  <si>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</si>
  <si>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</si>
  <si>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</si>
  <si>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</si>
  <si>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</si>
  <si>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</si>
  <si>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</si>
  <si>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</si>
  <si>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</si>
  <si>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</si>
  <si>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</si>
  <si>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</si>
  <si>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</si>
  <si>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</si>
  <si>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</si>
  <si>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</si>
  <si>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</si>
  <si>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</si>
  <si>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</si>
  <si>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</si>
  <si>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</si>
  <si>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</si>
  <si>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</si>
  <si>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</si>
  <si>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</si>
  <si>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</si>
  <si>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</si>
  <si>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</si>
  <si>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</si>
  <si>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</si>
  <si>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</si>
  <si>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</si>
  <si>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</si>
  <si>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</si>
  <si>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</si>
  <si>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</si>
  <si>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</si>
  <si>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</si>
  <si>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</si>
  <si>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</si>
  <si>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</si>
  <si>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</si>
  <si>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</si>
  <si>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</si>
  <si>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</si>
  <si>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</si>
  <si>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</si>
  <si>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</si>
  <si>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</si>
  <si>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</si>
  <si>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</si>
  <si>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</si>
  <si>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</si>
  <si>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</si>
  <si>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</si>
  <si>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</si>
  <si>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</si>
  <si>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</si>
  <si>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</si>
  <si>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</si>
  <si>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</si>
  <si>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</si>
  <si>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</si>
  <si>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</si>
  <si>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</si>
  <si>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</si>
  <si>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</si>
  <si>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</si>
  <si>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</si>
  <si>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</si>
  <si>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</si>
  <si>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</si>
  <si>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</si>
  <si>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</si>
  <si>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</si>
  <si>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</si>
  <si>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</si>
  <si>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</si>
  <si>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</si>
  <si>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</si>
  <si>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</si>
  <si>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</si>
  <si>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</si>
  <si>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</si>
  <si>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</si>
  <si>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</si>
  <si>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</si>
  <si>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</si>
  <si>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</si>
  <si>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</si>
  <si>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</si>
  <si>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</si>
  <si>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</si>
  <si>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</si>
  <si>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</si>
  <si>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</si>
  <si>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</si>
  <si>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</si>
  <si>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</si>
  <si>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</si>
  <si>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</si>
  <si>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</si>
  <si>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</si>
  <si>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</si>
  <si>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</si>
  <si>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</si>
  <si>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</si>
  <si>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</si>
  <si>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</si>
  <si>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</si>
  <si>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</si>
  <si>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</si>
  <si>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</si>
  <si>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</si>
  <si>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</si>
  <si>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</si>
  <si>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</si>
  <si>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</si>
  <si>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</si>
  <si>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</si>
  <si>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</si>
  <si>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</si>
  <si>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</si>
  <si>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</si>
  <si>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</si>
  <si>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</si>
  <si>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</si>
  <si>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</si>
  <si>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</si>
  <si>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</si>
  <si>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</si>
  <si>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</si>
  <si>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</si>
  <si>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</si>
  <si>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</si>
  <si>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</si>
  <si>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</si>
  <si>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</si>
  <si>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</si>
  <si>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</si>
  <si>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</si>
  <si>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</si>
  <si>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</si>
  <si>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</si>
  <si>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</si>
  <si>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</si>
  <si>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</si>
  <si>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</si>
  <si>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</si>
  <si>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</si>
  <si>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</si>
  <si>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</si>
  <si>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</si>
  <si>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</si>
  <si>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</si>
  <si>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</si>
  <si>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</si>
  <si>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</si>
  <si>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</si>
  <si>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</si>
  <si>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</si>
  <si>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</si>
  <si>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</si>
  <si>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</si>
  <si>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</si>
  <si>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</si>
  <si>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</si>
  <si>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</si>
  <si>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</si>
  <si>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</si>
  <si>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</si>
  <si>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</si>
  <si>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</si>
  <si>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</si>
  <si>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</si>
  <si>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</si>
  <si>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</si>
  <si>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</si>
  <si>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</si>
  <si>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</si>
  <si>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</si>
  <si>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</si>
  <si>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</si>
  <si>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</si>
  <si>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</si>
  <si>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</si>
  <si>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</si>
  <si>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</si>
  <si>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</si>
  <si>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</si>
  <si>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</si>
  <si>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</si>
  <si>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</si>
  <si>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</si>
  <si>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</si>
  <si>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</si>
  <si>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</si>
  <si>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</si>
  <si>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</si>
  <si>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</si>
  <si>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</si>
  <si>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</si>
  <si>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</si>
  <si>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</si>
  <si>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</si>
  <si>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</si>
  <si>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</si>
  <si>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</si>
  <si>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</si>
  <si>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</si>
  <si>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</si>
  <si>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</si>
  <si>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</si>
  <si>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</si>
  <si>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</si>
  <si>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</si>
  <si>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</si>
  <si>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</si>
  <si>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</si>
  <si>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</si>
  <si>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</si>
  <si>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</si>
  <si>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</si>
  <si>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</si>
  <si>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</si>
  <si>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</si>
  <si>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</si>
  <si>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</si>
  <si>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</si>
  <si>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</si>
  <si>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</si>
  <si>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</si>
  <si>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1910.HK</t>
  </si>
  <si>
    <t>SAMSONITE</t>
  </si>
  <si>
    <t xml:space="preserve">Superior Cycl. </t>
  </si>
  <si>
    <t>C0007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</si>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</sst>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267</v>
      </c>
    </row>
    <row r="5" spans="1:5" ht="13.9" x14ac:dyDescent="0.4">
      <c r="B5" s="140" t="s">
        <v>181</v>
      </c>
      <c r="C5" s="190" t="s">
        <v>268</v>
      </c>
    </row>
    <row r="6" spans="1:5" ht="13.9" x14ac:dyDescent="0.4">
      <c r="B6" s="140" t="s">
        <v>155</v>
      </c>
      <c r="C6" s="188">
        <v>45591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269</v>
      </c>
      <c r="E8" s="264"/>
    </row>
    <row r="9" spans="1:5" ht="13.9" x14ac:dyDescent="0.4">
      <c r="B9" s="139" t="s">
        <v>202</v>
      </c>
      <c r="C9" s="191" t="s">
        <v>270</v>
      </c>
    </row>
    <row r="10" spans="1:5" ht="13.9" x14ac:dyDescent="0.4">
      <c r="B10" s="139" t="s">
        <v>203</v>
      </c>
      <c r="C10" s="192">
        <v>1462217799</v>
      </c>
    </row>
    <row r="11" spans="1:5" ht="13.9" x14ac:dyDescent="0.4">
      <c r="B11" s="139" t="s">
        <v>204</v>
      </c>
      <c r="C11" s="191" t="s">
        <v>271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176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272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273</v>
      </c>
      <c r="D19" s="24"/>
    </row>
    <row r="20" spans="2:13" ht="13.9" x14ac:dyDescent="0.4">
      <c r="B20" s="238" t="s">
        <v>213</v>
      </c>
      <c r="C20" s="239" t="s">
        <v>273</v>
      </c>
      <c r="D20" s="24"/>
    </row>
    <row r="21" spans="2:13" ht="13.9" x14ac:dyDescent="0.4">
      <c r="B21" s="221" t="s">
        <v>216</v>
      </c>
      <c r="C21" s="239" t="s">
        <v>272</v>
      </c>
      <c r="D21" s="24"/>
    </row>
    <row r="22" spans="2:13" ht="78.75" x14ac:dyDescent="0.4">
      <c r="B22" s="223" t="s">
        <v>215</v>
      </c>
      <c r="C22" s="240" t="s">
        <v>274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3682.4</v>
      </c>
      <c r="D25" s="148">
        <v>2879.6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1499.6</v>
      </c>
      <c r="D26" s="149">
        <v>1274.2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1519.3</v>
      </c>
      <c r="D27" s="149">
        <v>1185.2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173</v>
      </c>
      <c r="D29" s="149">
        <v>138.30000000000001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33.299999999999997</v>
      </c>
      <c r="D30" s="149">
        <v>25.6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262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260</v>
      </c>
      <c r="C37" s="149">
        <v>3634.1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261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1607.0000000000005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128.10000000000036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0.1026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3.7359263587612178E-2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815.5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>
        <v>95.8</v>
      </c>
      <c r="D54" s="60">
        <v>0.1</v>
      </c>
      <c r="E54" s="112"/>
    </row>
    <row r="55" spans="2:5" ht="13.9" x14ac:dyDescent="0.4">
      <c r="B55" s="3" t="s">
        <v>43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1525.3</v>
      </c>
      <c r="D70" s="60">
        <v>0.05</v>
      </c>
      <c r="E70" s="112"/>
    </row>
    <row r="71" spans="2:5" ht="13.9" x14ac:dyDescent="0.4">
      <c r="B71" s="3" t="s">
        <v>71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949.6</v>
      </c>
      <c r="D72" s="245">
        <v>0</v>
      </c>
      <c r="E72" s="246"/>
    </row>
    <row r="73" spans="2:5" ht="13.9" x14ac:dyDescent="0.4">
      <c r="B73" s="3" t="s">
        <v>35</v>
      </c>
      <c r="C73" s="59">
        <v>92.8</v>
      </c>
    </row>
    <row r="74" spans="2:5" ht="13.9" x14ac:dyDescent="0.4">
      <c r="B74" s="3" t="s">
        <v>36</v>
      </c>
      <c r="C74" s="59">
        <v>126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58</v>
      </c>
      <c r="C78" s="59">
        <v>1721</v>
      </c>
    </row>
    <row r="79" spans="2:5" ht="13.9" x14ac:dyDescent="0.4">
      <c r="B79" s="3" t="s">
        <v>60</v>
      </c>
      <c r="C79" s="59">
        <v>392.6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>
        <v>121.2</v>
      </c>
    </row>
    <row r="82" spans="2:8" ht="14.25" hidden="1" thickBot="1" x14ac:dyDescent="0.45">
      <c r="B82" s="80" t="s">
        <v>265</v>
      </c>
      <c r="C82" s="214">
        <v>2453.6999999999998</v>
      </c>
    </row>
    <row r="83" spans="2:8" ht="14.25" hidden="1" thickTop="1" x14ac:dyDescent="0.4">
      <c r="B83" s="73" t="s">
        <v>266</v>
      </c>
      <c r="C83" s="214">
        <v>1478.9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3682.4</v>
      </c>
      <c r="D91" s="206"/>
      <c r="E91" s="248">
        <f>C91</f>
        <v>3682.4</v>
      </c>
      <c r="F91" s="248">
        <f>C91</f>
        <v>3682.4</v>
      </c>
    </row>
    <row r="92" spans="2:8" ht="13.9" x14ac:dyDescent="0.4">
      <c r="B92" s="104" t="s">
        <v>102</v>
      </c>
      <c r="C92" s="77">
        <f>C26</f>
        <v>1499.6</v>
      </c>
      <c r="D92" s="158">
        <f>C92/C91</f>
        <v>0.40723441233977836</v>
      </c>
      <c r="E92" s="249">
        <f>E91*D92</f>
        <v>1499.6</v>
      </c>
      <c r="F92" s="249">
        <f>F91*D92</f>
        <v>1499.6</v>
      </c>
    </row>
    <row r="93" spans="2:8" ht="13.9" x14ac:dyDescent="0.4">
      <c r="B93" s="104" t="s">
        <v>230</v>
      </c>
      <c r="C93" s="77">
        <f>C27+C28</f>
        <v>1519.3</v>
      </c>
      <c r="D93" s="158">
        <f>C93/C91</f>
        <v>0.41258418422767756</v>
      </c>
      <c r="E93" s="249">
        <f>E91*D93</f>
        <v>1519.3</v>
      </c>
      <c r="F93" s="249">
        <f>F91*D93</f>
        <v>1519.3</v>
      </c>
    </row>
    <row r="94" spans="2:8" ht="13.9" x14ac:dyDescent="0.4">
      <c r="B94" s="104" t="s">
        <v>239</v>
      </c>
      <c r="C94" s="77">
        <f>C29</f>
        <v>173</v>
      </c>
      <c r="D94" s="158">
        <f>C94/C91</f>
        <v>4.6980230284597004E-2</v>
      </c>
      <c r="E94" s="250"/>
      <c r="F94" s="249">
        <f>F91*D94</f>
        <v>173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44.4</v>
      </c>
      <c r="D97" s="158">
        <f>C97/C91</f>
        <v>1.2057353899630675E-2</v>
      </c>
      <c r="E97" s="250"/>
      <c r="F97" s="249">
        <f>F91*D97</f>
        <v>44.4</v>
      </c>
    </row>
    <row r="98" spans="2:7" ht="13.9" x14ac:dyDescent="0.4">
      <c r="B98" s="86" t="s">
        <v>193</v>
      </c>
      <c r="C98" s="234">
        <f>C44</f>
        <v>0.1026</v>
      </c>
      <c r="D98" s="263"/>
      <c r="E98" s="251">
        <f>F98</f>
        <v>0.1026</v>
      </c>
      <c r="F98" s="251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1910.HK</v>
      </c>
      <c r="D3" s="290"/>
      <c r="E3" s="87"/>
      <c r="F3" s="3" t="s">
        <v>1</v>
      </c>
      <c r="G3" s="131">
        <v>21.35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SAMSONITE</v>
      </c>
      <c r="D4" s="292"/>
      <c r="E4" s="87"/>
      <c r="F4" s="3" t="s">
        <v>2</v>
      </c>
      <c r="G4" s="295">
        <f>Inputs!C10</f>
        <v>1462217799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45591</v>
      </c>
      <c r="D5" s="294"/>
      <c r="E5" s="34"/>
      <c r="F5" s="35" t="s">
        <v>96</v>
      </c>
      <c r="G5" s="287">
        <f>G3*G4/1000000</f>
        <v>31218.350008650003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C0007</v>
      </c>
      <c r="E7" s="87"/>
      <c r="F7" s="35" t="s">
        <v>5</v>
      </c>
      <c r="G7" s="132">
        <v>7.7740767796834307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HK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259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250</v>
      </c>
      <c r="C20" s="273">
        <f>C23*C22*(1/C21)</f>
        <v>0.41862194874568948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248</v>
      </c>
      <c r="C21" s="275">
        <f>Data!C53</f>
        <v>0.28217358951365173</v>
      </c>
      <c r="F21" s="87"/>
      <c r="G21" s="29"/>
    </row>
    <row r="22" spans="1:8" ht="15.75" customHeight="1" x14ac:dyDescent="0.4">
      <c r="B22" s="276" t="s">
        <v>263</v>
      </c>
      <c r="C22" s="277">
        <f>Data!C48</f>
        <v>0.70260059911087369</v>
      </c>
      <c r="F22" s="141" t="s">
        <v>171</v>
      </c>
    </row>
    <row r="23" spans="1:8" ht="15.75" customHeight="1" thickBot="1" x14ac:dyDescent="0.45">
      <c r="B23" s="278" t="s">
        <v>255</v>
      </c>
      <c r="C23" s="279">
        <f>Data!C13</f>
        <v>0.16812404953291338</v>
      </c>
      <c r="F23" s="139" t="s">
        <v>175</v>
      </c>
      <c r="G23" s="176">
        <f>G3/(Data!C34*Data!C4/Common_Shares*Exchange_Rate)</f>
        <v>2.4988790907363851</v>
      </c>
    </row>
    <row r="24" spans="1:8" ht="15.75" customHeight="1" x14ac:dyDescent="0.4">
      <c r="B24" s="136" t="s">
        <v>256</v>
      </c>
      <c r="C24" s="170">
        <f>Fin_Analysis!I81</f>
        <v>4.6980230284597004E-2</v>
      </c>
      <c r="F24" s="139" t="s">
        <v>241</v>
      </c>
      <c r="G24" s="265">
        <f>G3/(Fin_Analysis!H86*G7)</f>
        <v>12.002387204104819</v>
      </c>
    </row>
    <row r="25" spans="1:8" ht="15.75" customHeight="1" x14ac:dyDescent="0.4">
      <c r="B25" s="136" t="s">
        <v>257</v>
      </c>
      <c r="C25" s="170">
        <f>Fin_Analysis!I80</f>
        <v>0</v>
      </c>
      <c r="F25" s="139" t="s">
        <v>162</v>
      </c>
      <c r="G25" s="170">
        <f>Fin_Analysis!I88</f>
        <v>0.44840034723873545</v>
      </c>
    </row>
    <row r="26" spans="1:8" ht="15.75" customHeight="1" x14ac:dyDescent="0.4">
      <c r="B26" s="137" t="s">
        <v>258</v>
      </c>
      <c r="C26" s="170">
        <f>Fin_Analysis!I80+Fin_Analysis!I82</f>
        <v>0</v>
      </c>
      <c r="F26" s="140" t="s">
        <v>179</v>
      </c>
      <c r="G26" s="177">
        <f>Fin_Analysis!H88*Exchange_Rate/G3</f>
        <v>3.7359263587612178E-2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17.053982476617193</v>
      </c>
      <c r="D29" s="128">
        <f>G29*(1+G20)</f>
        <v>32.207605089103012</v>
      </c>
      <c r="E29" s="87"/>
      <c r="F29" s="130">
        <f>IF(Fin_Analysis!C108="Profit",Fin_Analysis!F100,IF(Fin_Analysis!C108="Dividend",Fin_Analysis!F103,Fin_Analysis!F106))</f>
        <v>20.06350879602023</v>
      </c>
      <c r="G29" s="286">
        <f>IF(Fin_Analysis!C108="Profit",Fin_Analysis!I100,IF(Fin_Analysis!C108="Dividend",Fin_Analysis!I103,Fin_Analysis!I106))</f>
        <v>28.006613120959141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USD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3682.4</v>
      </c>
      <c r="D6" s="199">
        <f>IF(Inputs!D25="","",Inputs!D25)</f>
        <v>2879.6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1499.6</v>
      </c>
      <c r="D8" s="198">
        <f>IF(Inputs!D26="","",Inputs!D26)</f>
        <v>1274.2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2182.8000000000002</v>
      </c>
      <c r="D9" s="150">
        <f t="shared" si="2"/>
        <v>1605.3999999999999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1519.3</v>
      </c>
      <c r="D10" s="198">
        <f>IF(Inputs!D27="","",Inputs!D27)</f>
        <v>1185.2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44.4</v>
      </c>
      <c r="D12" s="198">
        <f>IF(Inputs!D30="","",MAX(Inputs!D30,0)/(1-Fin_Analysis!$I$84))</f>
        <v>34.133333333333333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0.16812404953291338</v>
      </c>
      <c r="D13" s="226">
        <f t="shared" si="3"/>
        <v>0.13406954669630036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619.10000000000025</v>
      </c>
      <c r="D14" s="227">
        <f t="shared" ref="D14:M14" si="4">IF(D6="","",D9-D10-MAX(D11,0)-MAX(D12,0))</f>
        <v>386.06666666666649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0.60360904852357244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173</v>
      </c>
      <c r="D17" s="198">
        <f>IF(Inputs!D29="","",Inputs!D29)</f>
        <v>138.30000000000001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446.10000000000025</v>
      </c>
      <c r="D22" s="160">
        <f t="shared" ref="D22:M22" si="8">IF(D6="","",D14-MAX(D16,0)-MAX(D17,0)-ABS(MAX(D21,0)-MAX(D19,0)))</f>
        <v>247.76666666666648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9.0857864436237279E-2</v>
      </c>
      <c r="D23" s="152">
        <f t="shared" si="9"/>
        <v>6.4531532157244026E-2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0.80048432665142144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5241.1000000000004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346.1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637.70000000000005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260</v>
      </c>
      <c r="C30" s="65">
        <f>Inputs!C37</f>
        <v>3634.1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218.8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2234.7999999999997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2453.6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1607.0000000000005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128.10000000000036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4425.6000000000004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0.13989063629790316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0.40723441233977836</v>
      </c>
      <c r="D40" s="155">
        <f t="shared" si="34"/>
        <v>0.44249201277955275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0.41258418422767756</v>
      </c>
      <c r="D41" s="152">
        <f t="shared" si="35"/>
        <v>0.41158494235310461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4.6980230284597004E-2</v>
      </c>
      <c r="D43" s="152">
        <f t="shared" si="37"/>
        <v>4.8027503819975004E-2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1.2057353899630675E-2</v>
      </c>
      <c r="D44" s="152">
        <f t="shared" si="38"/>
        <v>1.1853498171042275E-2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0.12114381924831638</v>
      </c>
      <c r="D46" s="152">
        <f t="shared" si="40"/>
        <v>8.6042042876325359E-2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280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252</v>
      </c>
      <c r="C48" s="269">
        <f t="shared" ref="C48:M48" si="41">IF(C6="","",C6/C27)</f>
        <v>0.70260059911087369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2">
        <f t="shared" ref="C49:M49" si="42">IF(C28="","",C28/C6)</f>
        <v>9.3987616771670654E-2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2">
        <f t="shared" ref="C50:M50" si="43">IF(C29="","",C29/C6)</f>
        <v>0.17317510319356941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5">
        <f t="shared" ref="C53:M53" si="45">IF(C34="","",(C34-C35)/C27)</f>
        <v>0.28217358951365173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0.18181447668731671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0.38780542479264718</v>
      </c>
      <c r="D55" s="152">
        <f t="shared" si="47"/>
        <v>0.55818646576079689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0" t="str">
        <f t="shared" ref="C57:M57" si="48">IFERROR(IF(C13*C48*(1/C53)=C58,"","Error"),"")</f>
        <v>Error</v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250</v>
      </c>
      <c r="C58" s="271">
        <f t="shared" ref="C58:M58" si="49">IF(C14="","",C14/(C34-C35))</f>
        <v>0.41862194874568953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251</v>
      </c>
      <c r="C59" s="271">
        <f t="shared" ref="C59:M59" si="50">IF(C22="","",C22/(C34-C35))</f>
        <v>0.30164311312461978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1607.0000000000005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1478.9</v>
      </c>
      <c r="K3" s="24"/>
    </row>
    <row r="4" spans="1:11" ht="15" customHeight="1" x14ac:dyDescent="0.4">
      <c r="B4" s="3" t="s">
        <v>23</v>
      </c>
      <c r="C4" s="87"/>
      <c r="D4" s="198">
        <f>Inputs!C42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1.6054727211114874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-2385.351411523332</v>
      </c>
      <c r="E6" s="56">
        <f>1-D6/D3</f>
        <v>2.4843505983343692</v>
      </c>
      <c r="F6" s="87"/>
      <c r="G6" s="87"/>
      <c r="H6" s="1" t="s">
        <v>26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815.5</v>
      </c>
      <c r="D11" s="197">
        <f>Inputs!D48</f>
        <v>0.9</v>
      </c>
      <c r="E11" s="88">
        <f t="shared" ref="E11:E22" si="0">C11*D11</f>
        <v>733.95</v>
      </c>
      <c r="F11" s="112"/>
      <c r="G11" s="87"/>
      <c r="H11" s="3" t="s">
        <v>35</v>
      </c>
      <c r="I11" s="40">
        <f>Inputs!C73</f>
        <v>92.8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126</v>
      </c>
      <c r="J12" s="87"/>
      <c r="K12" s="24"/>
    </row>
    <row r="13" spans="1:11" ht="13.9" x14ac:dyDescent="0.4">
      <c r="B13" s="3" t="s">
        <v>112</v>
      </c>
      <c r="C13" s="40">
        <f>Inputs!C50</f>
        <v>346.1</v>
      </c>
      <c r="D13" s="197">
        <f>Inputs!D50</f>
        <v>0.6</v>
      </c>
      <c r="E13" s="88">
        <f t="shared" si="0"/>
        <v>207.66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218.8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95.8</v>
      </c>
      <c r="D17" s="197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637.70000000000005</v>
      </c>
      <c r="D18" s="197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51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52</v>
      </c>
      <c r="I25" s="63">
        <f>E28/I28</f>
        <v>1.075940359200271</v>
      </c>
    </row>
    <row r="26" spans="2:10" ht="15" customHeight="1" x14ac:dyDescent="0.4">
      <c r="B26" s="23" t="s">
        <v>53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54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4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1721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392.6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121.2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2234.7999999999997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701.8</v>
      </c>
      <c r="D38" s="197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1525.3</v>
      </c>
      <c r="D40" s="197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169.3</v>
      </c>
      <c r="D41" s="197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949.6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77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79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81</v>
      </c>
      <c r="I48" s="281">
        <f>I49-I28</f>
        <v>2453.6999999999998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82</v>
      </c>
      <c r="I49" s="40">
        <f>Inputs!C37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128.10000000000036</v>
      </c>
      <c r="D53" s="29">
        <f>IF(E53=0, 0,E53/C53)</f>
        <v>2.4988790907363851</v>
      </c>
      <c r="E53" s="88">
        <f>IF(C53=0,0,MAX(C53,C53*Dashboard!G23))</f>
        <v>320.10641152333187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2453.6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815.5</v>
      </c>
      <c r="D62" s="107">
        <f t="shared" si="2"/>
        <v>0.9</v>
      </c>
      <c r="E62" s="117">
        <f>E11+E30</f>
        <v>733.95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3682.4</v>
      </c>
      <c r="D74" s="206"/>
      <c r="E74" s="235">
        <f>Inputs!E91</f>
        <v>3682.4</v>
      </c>
      <c r="F74" s="206"/>
      <c r="H74" s="235">
        <f>Inputs!F91</f>
        <v>3682.4</v>
      </c>
      <c r="I74" s="206"/>
      <c r="K74" s="24"/>
    </row>
    <row r="75" spans="1:11" ht="15" customHeight="1" x14ac:dyDescent="0.4">
      <c r="B75" s="104" t="s">
        <v>102</v>
      </c>
      <c r="C75" s="77">
        <f>Data!C8</f>
        <v>1499.6</v>
      </c>
      <c r="D75" s="158">
        <f>C75/$C$74</f>
        <v>0.40723441233977836</v>
      </c>
      <c r="E75" s="235">
        <f>Inputs!E92</f>
        <v>1499.6</v>
      </c>
      <c r="F75" s="159">
        <f>E75/E74</f>
        <v>0.40723441233977836</v>
      </c>
      <c r="H75" s="235">
        <f>Inputs!F92</f>
        <v>1499.6</v>
      </c>
      <c r="I75" s="159">
        <f>H75/$H$74</f>
        <v>0.40723441233977836</v>
      </c>
      <c r="K75" s="24"/>
    </row>
    <row r="76" spans="1:11" ht="15" customHeight="1" x14ac:dyDescent="0.4">
      <c r="B76" s="35" t="s">
        <v>92</v>
      </c>
      <c r="C76" s="160">
        <f>C74-C75</f>
        <v>2182.8000000000002</v>
      </c>
      <c r="D76" s="207"/>
      <c r="E76" s="161">
        <f>E74-E75</f>
        <v>2182.8000000000002</v>
      </c>
      <c r="F76" s="207"/>
      <c r="H76" s="161">
        <f>H74-H75</f>
        <v>2182.8000000000002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1519.3</v>
      </c>
      <c r="D77" s="158">
        <f>C77/$C$74</f>
        <v>0.41258418422767756</v>
      </c>
      <c r="E77" s="235">
        <f>Inputs!E93</f>
        <v>1519.3</v>
      </c>
      <c r="F77" s="159">
        <f>E77/E74</f>
        <v>0.41258418422767756</v>
      </c>
      <c r="H77" s="235">
        <f>Inputs!F93</f>
        <v>1519.3</v>
      </c>
      <c r="I77" s="159">
        <f>H77/$H$74</f>
        <v>0.41258418422767756</v>
      </c>
      <c r="K77" s="24"/>
    </row>
    <row r="78" spans="1:11" ht="15" customHeight="1" x14ac:dyDescent="0.4">
      <c r="B78" s="73" t="s">
        <v>161</v>
      </c>
      <c r="C78" s="77">
        <f>MAX(Data!C12,0)</f>
        <v>44.4</v>
      </c>
      <c r="D78" s="158">
        <f>C78/$C$74</f>
        <v>1.2057353899630675E-2</v>
      </c>
      <c r="E78" s="179">
        <f>E74*F78</f>
        <v>44.4</v>
      </c>
      <c r="F78" s="159">
        <f>I78</f>
        <v>1.2057353899630675E-2</v>
      </c>
      <c r="H78" s="235">
        <f>Inputs!F97</f>
        <v>44.4</v>
      </c>
      <c r="I78" s="159">
        <f>H78/$H$74</f>
        <v>1.2057353899630675E-2</v>
      </c>
      <c r="K78" s="24"/>
    </row>
    <row r="79" spans="1:11" ht="15" customHeight="1" x14ac:dyDescent="0.4">
      <c r="B79" s="253" t="s">
        <v>217</v>
      </c>
      <c r="C79" s="254">
        <f>C76-C77-C78</f>
        <v>619.10000000000025</v>
      </c>
      <c r="D79" s="255">
        <f>C79/C74</f>
        <v>0.16812404953291338</v>
      </c>
      <c r="E79" s="256">
        <f>E76-E77-E78</f>
        <v>619.10000000000025</v>
      </c>
      <c r="F79" s="255">
        <f>E79/E74</f>
        <v>0.16812404953291338</v>
      </c>
      <c r="G79" s="257"/>
      <c r="H79" s="256">
        <f>H76-H77-H78</f>
        <v>619.10000000000025</v>
      </c>
      <c r="I79" s="255">
        <f>H79/H74</f>
        <v>0.16812404953291338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173</v>
      </c>
      <c r="D81" s="158">
        <f>C81/$C$74</f>
        <v>4.6980230284597004E-2</v>
      </c>
      <c r="E81" s="179">
        <f>E74*F81</f>
        <v>173</v>
      </c>
      <c r="F81" s="159">
        <f>I81</f>
        <v>4.6980230284597004E-2</v>
      </c>
      <c r="H81" s="235">
        <f>Inputs!F94</f>
        <v>173</v>
      </c>
      <c r="I81" s="159">
        <f>H81/$H$74</f>
        <v>4.6980230284597004E-2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446.10000000000025</v>
      </c>
      <c r="D83" s="163">
        <f>C83/$C$74</f>
        <v>0.12114381924831638</v>
      </c>
      <c r="E83" s="164">
        <f>E79-E81-E82-E80</f>
        <v>446.10000000000025</v>
      </c>
      <c r="F83" s="163">
        <f>E83/E74</f>
        <v>0.12114381924831638</v>
      </c>
      <c r="H83" s="164">
        <f>H79-H81-H82-H80</f>
        <v>446.10000000000025</v>
      </c>
      <c r="I83" s="163">
        <f>H83/$H$74</f>
        <v>0.12114381924831638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334.57500000000016</v>
      </c>
      <c r="D85" s="255">
        <f>C85/$C$74</f>
        <v>9.0857864436237279E-2</v>
      </c>
      <c r="E85" s="261">
        <f>E83*(1-F84)</f>
        <v>334.57500000000016</v>
      </c>
      <c r="F85" s="255">
        <f>E85/E74</f>
        <v>9.0857864436237279E-2</v>
      </c>
      <c r="G85" s="257"/>
      <c r="H85" s="261">
        <f>H83*(1-I84)</f>
        <v>334.57500000000016</v>
      </c>
      <c r="I85" s="255">
        <f>H85/$H$74</f>
        <v>9.0857864436237279E-2</v>
      </c>
      <c r="K85" s="24"/>
    </row>
    <row r="86" spans="1:11" ht="15" customHeight="1" x14ac:dyDescent="0.4">
      <c r="B86" s="87" t="s">
        <v>152</v>
      </c>
      <c r="C86" s="166">
        <f>C85*Data!C4/Common_Shares</f>
        <v>0.22881338213008592</v>
      </c>
      <c r="D86" s="206"/>
      <c r="E86" s="167">
        <f>E85*Data!C4/Common_Shares</f>
        <v>0.22881338213008592</v>
      </c>
      <c r="F86" s="206"/>
      <c r="H86" s="167">
        <f>H85*Data!C4/Common_Shares</f>
        <v>0.22881338213008592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8.3316758824277873E-2</v>
      </c>
      <c r="D87" s="206"/>
      <c r="E87" s="259">
        <f>E86*Exchange_Rate/Dashboard!G3</f>
        <v>8.3316758824277873E-2</v>
      </c>
      <c r="F87" s="206"/>
      <c r="H87" s="259">
        <f>H86*Exchange_Rate/Dashboard!G3</f>
        <v>8.3316758824277873E-2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0.1026</v>
      </c>
      <c r="D88" s="165">
        <f>C88/C86</f>
        <v>0.44840034723873545</v>
      </c>
      <c r="E88" s="169">
        <f>Inputs!E98</f>
        <v>0.1026</v>
      </c>
      <c r="F88" s="165">
        <f>E88/E86</f>
        <v>0.44840034723873545</v>
      </c>
      <c r="H88" s="169">
        <f>Inputs!F98</f>
        <v>0.1026</v>
      </c>
      <c r="I88" s="165">
        <f>H88/H86</f>
        <v>0.44840034723873545</v>
      </c>
      <c r="K88" s="24"/>
    </row>
    <row r="89" spans="1:11" ht="15" customHeight="1" x14ac:dyDescent="0.4">
      <c r="B89" s="87" t="s">
        <v>206</v>
      </c>
      <c r="C89" s="258">
        <f>C88*Exchange_Rate/Dashboard!G3</f>
        <v>3.7359263587612178E-2</v>
      </c>
      <c r="D89" s="206"/>
      <c r="E89" s="258">
        <f>E88*Exchange_Rate/Dashboard!G3</f>
        <v>3.7359263587612178E-2</v>
      </c>
      <c r="F89" s="206"/>
      <c r="H89" s="258">
        <f>H88*Exchange_Rate/Dashboard!G3</f>
        <v>3.7359263587612178E-2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195</v>
      </c>
      <c r="F93" s="143">
        <f>FV(E87,D93,0,-(E86/(C93-D94)))*Exchange_Rate</f>
        <v>43.777988516061193</v>
      </c>
      <c r="H93" s="87" t="s">
        <v>195</v>
      </c>
      <c r="I93" s="143">
        <f>FV(H87,D93,0,-(H86/(C93-D94)))*Exchange_Rate</f>
        <v>43.777988516061193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15.80485014560767</v>
      </c>
      <c r="H94" s="87" t="s">
        <v>196</v>
      </c>
      <c r="I94" s="143">
        <f>FV(H89,D93,0,-(H88/(C93-D94)))*Exchange_Rate</f>
        <v>15.80485014560767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31825.751492785163</v>
      </c>
      <c r="D97" s="210"/>
      <c r="E97" s="122">
        <f>PV(C94,D93,0,-F93)</f>
        <v>21.765397408341329</v>
      </c>
      <c r="F97" s="210"/>
      <c r="H97" s="122">
        <f>PV(C94,D93,0,-I93)</f>
        <v>21.765397408341329</v>
      </c>
      <c r="I97" s="122">
        <f>PV(C93,D93,0,-I93)</f>
        <v>29.70850173328024</v>
      </c>
      <c r="K97" s="24"/>
    </row>
    <row r="98" spans="2:11" ht="15" customHeight="1" x14ac:dyDescent="0.4">
      <c r="B98" s="28" t="s">
        <v>139</v>
      </c>
      <c r="C98" s="91">
        <f>-E53*Exchange_Rate</f>
        <v>-2488.5318208513227</v>
      </c>
      <c r="D98" s="210"/>
      <c r="E98" s="210"/>
      <c r="F98" s="210"/>
      <c r="H98" s="122">
        <f>C98*Data!$C$4/Common_Shares</f>
        <v>-1.7018886123210997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29337.219671933839</v>
      </c>
      <c r="D100" s="109">
        <f>MIN(F100*(1-C94),E100)</f>
        <v>17.053982476617193</v>
      </c>
      <c r="E100" s="109">
        <f>MAX(E97+H98+E99,0)</f>
        <v>20.06350879602023</v>
      </c>
      <c r="F100" s="109">
        <f>(E100+H100)/2</f>
        <v>20.06350879602023</v>
      </c>
      <c r="H100" s="109">
        <f>MAX(C100*Data!$C$4/Common_Shares,0)</f>
        <v>20.06350879602023</v>
      </c>
      <c r="I100" s="109">
        <f>MAX(I97+H98+H99,0)</f>
        <v>28.006613120959141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11489.820573420793</v>
      </c>
      <c r="D103" s="109">
        <f>MIN(F103*(1-C94),E103)</f>
        <v>6.6791332276811346</v>
      </c>
      <c r="E103" s="122">
        <f>PV(C94,D93,0,-F94)</f>
        <v>7.8578037972719228</v>
      </c>
      <c r="F103" s="109">
        <f>(E103+H103)/2</f>
        <v>7.8578037972719228</v>
      </c>
      <c r="H103" s="122">
        <f>PV(C94,D93,0,-I94)</f>
        <v>7.8578037972719228</v>
      </c>
      <c r="I103" s="109">
        <f>PV(C93,D93,0,-I94)</f>
        <v>10.725445226263799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20413.520122677317</v>
      </c>
      <c r="D106" s="109">
        <f>(D100+D103)/2</f>
        <v>11.866557852149164</v>
      </c>
      <c r="E106" s="122">
        <f>(E100+E103)/2</f>
        <v>13.960656296646077</v>
      </c>
      <c r="F106" s="109">
        <f>(F100+F103)/2</f>
        <v>13.960656296646077</v>
      </c>
      <c r="H106" s="122">
        <f>(H100+H103)/2</f>
        <v>13.960656296646077</v>
      </c>
      <c r="I106" s="122">
        <f>(I100+I103)/2</f>
        <v>19.366029173611469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