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D68C364-7E04-422A-81CC-D5DDC708816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4" i="3"/>
  <c r="D3" i="3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E92" i="4"/>
  <c r="F97" i="4"/>
  <c r="F96" i="4"/>
  <c r="D53" i="4"/>
  <c r="I3" i="3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<sst xmlns="http://schemas.openxmlformats.org/spreadsheetml/2006/main" count="392" uniqueCount="274">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</sst>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45633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2609743532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176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33160996</v>
      </c>
      <c r="D25" s="148">
        <v>28098754</v>
      </c>
      <c r="E25" s="148">
        <v>23603063</v>
      </c>
      <c r="F25" s="148">
        <v>19906593</v>
      </c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21424326</v>
      </c>
      <c r="D26" s="149">
        <v>18535445</v>
      </c>
      <c r="E26" s="149">
        <v>15129053</v>
      </c>
      <c r="F26" s="149">
        <v>12640913</v>
      </c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1734137</v>
      </c>
      <c r="D27" s="149">
        <v>1682699</v>
      </c>
      <c r="E27" s="149">
        <v>1486658</v>
      </c>
      <c r="F27" s="149">
        <v>1838041</v>
      </c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1.3</f>
        <v>1.3</v>
      </c>
      <c r="D44" s="247">
        <v>1.25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2.5860397213368146E-2</v>
      </c>
      <c r="D45" s="151">
        <f>IF(D44="","",D44*Exchange_Rate/Dashboard!$G$3)</f>
        <v>2.4865766551315522E-2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33160996</v>
      </c>
      <c r="D91" s="206"/>
      <c r="E91" s="248">
        <f>C91</f>
        <v>33160996</v>
      </c>
      <c r="F91" s="248">
        <f>C91</f>
        <v>33160996</v>
      </c>
    </row>
    <row r="92" spans="2:8" ht="13.9" x14ac:dyDescent="0.4">
      <c r="B92" s="104" t="s">
        <v>102</v>
      </c>
      <c r="C92" s="77">
        <f>C26</f>
        <v>21424326</v>
      </c>
      <c r="D92" s="158">
        <f>C92/C91</f>
        <v>0.646070039633309</v>
      </c>
      <c r="E92" s="249">
        <f>E91*D92</f>
        <v>21424326</v>
      </c>
      <c r="F92" s="249">
        <f>F91*D92</f>
        <v>21424326</v>
      </c>
    </row>
    <row r="93" spans="2:8" ht="13.9" x14ac:dyDescent="0.4">
      <c r="B93" s="104" t="s">
        <v>230</v>
      </c>
      <c r="C93" s="77">
        <f>C27+C28</f>
        <v>1734137</v>
      </c>
      <c r="D93" s="158">
        <f>C93/C91</f>
        <v>5.2294478730373475E-2</v>
      </c>
      <c r="E93" s="249">
        <f>E91*D93</f>
        <v>1734137</v>
      </c>
      <c r="F93" s="249">
        <f>F91*D93</f>
        <v>1734137</v>
      </c>
    </row>
    <row r="94" spans="2:8" ht="13.9" x14ac:dyDescent="0.4">
      <c r="B94" s="104" t="s">
        <v>239</v>
      </c>
      <c r="C94" s="77">
        <f>C29</f>
        <v>0</v>
      </c>
      <c r="D94" s="158">
        <f>C94/C91</f>
        <v>0</v>
      </c>
      <c r="E94" s="250"/>
      <c r="F94" s="249">
        <f>F91*D94</f>
        <v>0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1.3</v>
      </c>
      <c r="D98" s="263"/>
      <c r="E98" s="251">
        <f>F98</f>
        <v>1.3</v>
      </c>
      <c r="F98" s="251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3606.HK</v>
      </c>
      <c r="D3" s="290"/>
      <c r="E3" s="87"/>
      <c r="F3" s="3" t="s">
        <v>1</v>
      </c>
      <c r="G3" s="131">
        <v>53.7</v>
      </c>
      <c r="H3" s="133" t="s">
        <v>273</v>
      </c>
    </row>
    <row r="4" spans="1:10" ht="15.75" customHeight="1" x14ac:dyDescent="0.4">
      <c r="B4" s="35" t="s">
        <v>181</v>
      </c>
      <c r="C4" s="291" t="str">
        <f>Inputs!C5</f>
        <v>福耀玻璃</v>
      </c>
      <c r="D4" s="292"/>
      <c r="E4" s="87"/>
      <c r="F4" s="3" t="s">
        <v>2</v>
      </c>
      <c r="G4" s="295">
        <f>Inputs!C10</f>
        <v>2609743532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45633</v>
      </c>
      <c r="D5" s="294"/>
      <c r="E5" s="34"/>
      <c r="F5" s="35" t="s">
        <v>96</v>
      </c>
      <c r="G5" s="287">
        <f>G3*G4/1000000</f>
        <v>140143.22766839998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C0006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HK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0.30163548163631754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0</v>
      </c>
      <c r="F24" s="139" t="s">
        <v>242</v>
      </c>
      <c r="G24" s="265">
        <f>G3/(Fin_Analysis!H86*G7)</f>
        <v>17.487782154768496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0.45224099290316433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2.5860397213368146E-2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28.266232433213052</v>
      </c>
      <c r="D29" s="128">
        <f>G29*(1+G20)</f>
        <v>52.198856496473901</v>
      </c>
      <c r="E29" s="87"/>
      <c r="F29" s="130">
        <f>IF(Fin_Analysis!C108="Profit",Fin_Analysis!F100,IF(Fin_Analysis!C108="Dividend",Fin_Analysis!F103,Fin_Analysis!F106))</f>
        <v>33.25439109789771</v>
      </c>
      <c r="G29" s="286">
        <f>IF(Fin_Analysis!C108="Profit",Fin_Analysis!I100,IF(Fin_Analysis!C108="Dividend",Fin_Analysis!I103,Fin_Analysis!I106))</f>
        <v>45.39030999693383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10002533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33160996</v>
      </c>
      <c r="D6" s="199">
        <f>IF(Inputs!D25="","",Inputs!D25)</f>
        <v>28098754</v>
      </c>
      <c r="E6" s="199">
        <f>IF(Inputs!E25="","",Inputs!E25)</f>
        <v>23603063</v>
      </c>
      <c r="F6" s="199">
        <f>IF(Inputs!F25="","",Inputs!F25)</f>
        <v>19906593</v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0.18015894939683097</v>
      </c>
      <c r="D7" s="92">
        <f t="shared" si="1"/>
        <v>0.19047066052401762</v>
      </c>
      <c r="E7" s="92">
        <f t="shared" si="1"/>
        <v>0.18569074075106684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21424326</v>
      </c>
      <c r="D8" s="198">
        <f>IF(Inputs!D26="","",Inputs!D26)</f>
        <v>18535445</v>
      </c>
      <c r="E8" s="198">
        <f>IF(Inputs!E26="","",Inputs!E26)</f>
        <v>15129053</v>
      </c>
      <c r="F8" s="198">
        <f>IF(Inputs!F26="","",Inputs!F26)</f>
        <v>12640913</v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11736670</v>
      </c>
      <c r="D9" s="150">
        <f t="shared" si="2"/>
        <v>9563309</v>
      </c>
      <c r="E9" s="150">
        <f t="shared" si="2"/>
        <v>8474010</v>
      </c>
      <c r="F9" s="150">
        <f t="shared" si="2"/>
        <v>7265680</v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1734137</v>
      </c>
      <c r="D10" s="198">
        <f>IF(Inputs!D27="","",Inputs!D27)</f>
        <v>1682699</v>
      </c>
      <c r="E10" s="198">
        <f>IF(Inputs!E27="","",Inputs!E27)</f>
        <v>1486658</v>
      </c>
      <c r="F10" s="198">
        <f>IF(Inputs!F27="","",Inputs!F27)</f>
        <v>1838041</v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0.30163548163631754</v>
      </c>
      <c r="D13" s="226">
        <f t="shared" si="3"/>
        <v>0.28046119055670582</v>
      </c>
      <c r="E13" s="226">
        <f t="shared" si="3"/>
        <v>0.29603581535159229</v>
      </c>
      <c r="F13" s="226">
        <f t="shared" si="3"/>
        <v>0.27265534589469931</v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10002533</v>
      </c>
      <c r="D14" s="227">
        <f t="shared" ref="D14:M14" si="4">IF(D6="","",D9-D10-MAX(D11,0)-MAX(D12,0))</f>
        <v>7880610</v>
      </c>
      <c r="E14" s="227">
        <f t="shared" si="4"/>
        <v>6987352</v>
      </c>
      <c r="F14" s="227">
        <f t="shared" si="4"/>
        <v>5427639</v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0.26925872489566161</v>
      </c>
      <c r="D15" s="229">
        <f t="shared" ref="D15:M15" si="5">IF(E14="","",IF(ABS(D14+E14)=ABS(D14)+ABS(E14),IF(D14&lt;0,-1,1)*(D14-E14)/E14,"Turn"))</f>
        <v>0.12783927301787573</v>
      </c>
      <c r="E15" s="229">
        <f t="shared" si="5"/>
        <v>0.28736491133621822</v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 t="str">
        <f>IF(Inputs!C29="","",Inputs!C29)</f>
        <v/>
      </c>
      <c r="D17" s="198" t="str">
        <f>IF(Inputs!D29="","",Inputs!D29)</f>
        <v/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>
        <f t="shared" si="7"/>
        <v>0</v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10002533</v>
      </c>
      <c r="D22" s="160">
        <f t="shared" ref="D22:M22" si="8">IF(D6="","",D14-MAX(D16,0)-MAX(D17,0)-ABS(MAX(D21,0)-MAX(D19,0)))</f>
        <v>7880610</v>
      </c>
      <c r="E22" s="160">
        <f t="shared" si="8"/>
        <v>6987352</v>
      </c>
      <c r="F22" s="160">
        <f t="shared" si="8"/>
        <v>5427639</v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0.22622661122723817</v>
      </c>
      <c r="D23" s="152">
        <f t="shared" si="9"/>
        <v>0.21034589291752936</v>
      </c>
      <c r="E23" s="152">
        <f t="shared" si="9"/>
        <v>0.22202686151369422</v>
      </c>
      <c r="F23" s="152">
        <f t="shared" si="9"/>
        <v>0.20449150942102448</v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0.26925872489566161</v>
      </c>
      <c r="D25" s="230">
        <f t="shared" ref="D25:M25" si="10">IF(E24="","",IF(ABS(D24+E24)=ABS(D24)+ABS(E24),IF(D24&lt;0,-1,1)*(D24-E24)/E24,"Turn"))</f>
        <v>0.12783927301787573</v>
      </c>
      <c r="E25" s="230">
        <f t="shared" si="10"/>
        <v>0.28736491133621822</v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0.646070039633309</v>
      </c>
      <c r="D40" s="155">
        <f t="shared" si="34"/>
        <v>0.65965362734589583</v>
      </c>
      <c r="E40" s="155">
        <f t="shared" si="34"/>
        <v>0.64097837640818056</v>
      </c>
      <c r="F40" s="155">
        <f t="shared" si="34"/>
        <v>0.63501137537699193</v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5.2294478730373475E-2</v>
      </c>
      <c r="D41" s="152">
        <f t="shared" si="35"/>
        <v>5.9885182097398341E-2</v>
      </c>
      <c r="E41" s="152">
        <f t="shared" si="35"/>
        <v>6.298580824022712E-2</v>
      </c>
      <c r="F41" s="152">
        <f t="shared" si="35"/>
        <v>9.2333278728308751E-2</v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>
        <f t="shared" si="36"/>
        <v>0</v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</v>
      </c>
      <c r="D43" s="152">
        <f t="shared" si="37"/>
        <v>0</v>
      </c>
      <c r="E43" s="152">
        <f t="shared" si="37"/>
        <v>0</v>
      </c>
      <c r="F43" s="152">
        <f t="shared" si="37"/>
        <v>0</v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>
        <f t="shared" si="38"/>
        <v>0</v>
      </c>
      <c r="F44" s="152">
        <f t="shared" si="38"/>
        <v>0</v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>
        <f t="shared" si="39"/>
        <v>0</v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0.30163548163631754</v>
      </c>
      <c r="D46" s="152">
        <f t="shared" si="40"/>
        <v>0.28046119055670582</v>
      </c>
      <c r="E46" s="152">
        <f t="shared" si="40"/>
        <v>0.29603581535159229</v>
      </c>
      <c r="F46" s="152">
        <f t="shared" si="40"/>
        <v>0.27265534589469931</v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e">
        <f t="shared" si="41"/>
        <v>#VALUE!</v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e">
        <f t="shared" si="44"/>
        <v>#VALUE!</v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 t="str">
        <f t="shared" ref="C55:M55" si="47">IF(C22="","",IF(MAX(C17,0)&lt;=0,"-",C17/C22))</f>
        <v>-</v>
      </c>
      <c r="D55" s="152" t="str">
        <f t="shared" si="47"/>
        <v>-</v>
      </c>
      <c r="E55" s="152" t="str">
        <f t="shared" si="47"/>
        <v>-</v>
      </c>
      <c r="F55" s="152" t="str">
        <f t="shared" si="47"/>
        <v>-</v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e">
        <f t="shared" si="49"/>
        <v>#VALUE!</v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e">
        <f t="shared" si="50"/>
        <v>#VALUE!</v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33160996</v>
      </c>
      <c r="D74" s="206"/>
      <c r="E74" s="235">
        <f>Inputs!E91</f>
        <v>33160996</v>
      </c>
      <c r="F74" s="206"/>
      <c r="H74" s="235">
        <f>Inputs!F91</f>
        <v>33160996</v>
      </c>
      <c r="I74" s="206"/>
      <c r="K74" s="24"/>
    </row>
    <row r="75" spans="1:11" ht="15" customHeight="1" x14ac:dyDescent="0.4">
      <c r="B75" s="104" t="s">
        <v>102</v>
      </c>
      <c r="C75" s="77">
        <f>Data!C8</f>
        <v>21424326</v>
      </c>
      <c r="D75" s="158">
        <f>C75/$C$74</f>
        <v>0.646070039633309</v>
      </c>
      <c r="E75" s="235">
        <f>Inputs!E92</f>
        <v>21424326</v>
      </c>
      <c r="F75" s="159">
        <f>E75/E74</f>
        <v>0.646070039633309</v>
      </c>
      <c r="H75" s="235">
        <f>Inputs!F92</f>
        <v>21424326</v>
      </c>
      <c r="I75" s="159">
        <f>H75/$H$74</f>
        <v>0.646070039633309</v>
      </c>
      <c r="K75" s="24"/>
    </row>
    <row r="76" spans="1:11" ht="15" customHeight="1" x14ac:dyDescent="0.4">
      <c r="B76" s="35" t="s">
        <v>92</v>
      </c>
      <c r="C76" s="160">
        <f>C74-C75</f>
        <v>11736670</v>
      </c>
      <c r="D76" s="207"/>
      <c r="E76" s="161">
        <f>E74-E75</f>
        <v>11736670</v>
      </c>
      <c r="F76" s="207"/>
      <c r="H76" s="161">
        <f>H74-H75</f>
        <v>11736670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1734137</v>
      </c>
      <c r="D77" s="158">
        <f>C77/$C$74</f>
        <v>5.2294478730373475E-2</v>
      </c>
      <c r="E77" s="235">
        <f>Inputs!E93</f>
        <v>1734137</v>
      </c>
      <c r="F77" s="159">
        <f>E77/E74</f>
        <v>5.2294478730373475E-2</v>
      </c>
      <c r="H77" s="235">
        <f>Inputs!F93</f>
        <v>1734137</v>
      </c>
      <c r="I77" s="159">
        <f>H77/$H$74</f>
        <v>5.2294478730373475E-2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10002533</v>
      </c>
      <c r="D79" s="255">
        <f>C79/C74</f>
        <v>0.30163548163631754</v>
      </c>
      <c r="E79" s="256">
        <f>E76-E77-E78</f>
        <v>10002533</v>
      </c>
      <c r="F79" s="255">
        <f>E79/E74</f>
        <v>0.30163548163631754</v>
      </c>
      <c r="G79" s="257"/>
      <c r="H79" s="256">
        <f>H76-H77-H78</f>
        <v>10002533</v>
      </c>
      <c r="I79" s="255">
        <f>H79/H74</f>
        <v>0.30163548163631754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0</v>
      </c>
      <c r="D81" s="158">
        <f>C81/$C$74</f>
        <v>0</v>
      </c>
      <c r="E81" s="179">
        <f>E74*F81</f>
        <v>0</v>
      </c>
      <c r="F81" s="159">
        <f>I81</f>
        <v>0</v>
      </c>
      <c r="H81" s="235">
        <f>Inputs!F94</f>
        <v>0</v>
      </c>
      <c r="I81" s="159">
        <f>H81/$H$74</f>
        <v>0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10002533</v>
      </c>
      <c r="D83" s="163">
        <f>C83/$C$74</f>
        <v>0.30163548163631754</v>
      </c>
      <c r="E83" s="164">
        <f>E79-E81-E82-E80</f>
        <v>10002533</v>
      </c>
      <c r="F83" s="163">
        <f>E83/E74</f>
        <v>0.30163548163631754</v>
      </c>
      <c r="H83" s="164">
        <f>H79-H81-H82-H80</f>
        <v>10002533</v>
      </c>
      <c r="I83" s="163">
        <f>H83/$H$74</f>
        <v>0.30163548163631754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7501899.75</v>
      </c>
      <c r="D85" s="255">
        <f>C85/$C$74</f>
        <v>0.22622661122723817</v>
      </c>
      <c r="E85" s="261">
        <f>E83*(1-F84)</f>
        <v>7501899.75</v>
      </c>
      <c r="F85" s="255">
        <f>E85/E74</f>
        <v>0.22622661122723817</v>
      </c>
      <c r="G85" s="257"/>
      <c r="H85" s="261">
        <f>H83*(1-I84)</f>
        <v>7501899.75</v>
      </c>
      <c r="I85" s="255">
        <f>H85/$H$74</f>
        <v>0.22622661122723817</v>
      </c>
      <c r="K85" s="24"/>
    </row>
    <row r="86" spans="1:11" ht="15" customHeight="1" x14ac:dyDescent="0.4">
      <c r="B86" s="87" t="s">
        <v>152</v>
      </c>
      <c r="C86" s="166">
        <f>C85*Data!C4/Common_Shares</f>
        <v>2.8745735579046929</v>
      </c>
      <c r="D86" s="206"/>
      <c r="E86" s="167">
        <f>E85*Data!C4/Common_Shares</f>
        <v>2.8745735579046929</v>
      </c>
      <c r="F86" s="206"/>
      <c r="H86" s="167">
        <f>H85*Data!C4/Common_Shares</f>
        <v>2.8745735579046929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5.7182780020354054E-2</v>
      </c>
      <c r="D87" s="206"/>
      <c r="E87" s="259">
        <f>E86*Exchange_Rate/Dashboard!G3</f>
        <v>5.7182780020354054E-2</v>
      </c>
      <c r="F87" s="206"/>
      <c r="H87" s="259">
        <f>H86*Exchange_Rate/Dashboard!G3</f>
        <v>5.7182780020354054E-2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1.3</v>
      </c>
      <c r="D88" s="165">
        <f>C88/C86</f>
        <v>0.45224099290316433</v>
      </c>
      <c r="E88" s="169">
        <f>Inputs!E98</f>
        <v>1.3</v>
      </c>
      <c r="F88" s="165">
        <f>E88/E86</f>
        <v>0.45224099290316433</v>
      </c>
      <c r="H88" s="169">
        <f>Inputs!F98</f>
        <v>1.3</v>
      </c>
      <c r="I88" s="165">
        <f>H88/H86</f>
        <v>0.45224099290316433</v>
      </c>
      <c r="K88" s="24"/>
    </row>
    <row r="89" spans="1:11" ht="15" customHeight="1" x14ac:dyDescent="0.4">
      <c r="B89" s="87" t="s">
        <v>206</v>
      </c>
      <c r="C89" s="258">
        <f>C88*Exchange_Rate/Dashboard!G3</f>
        <v>2.5860397213368146E-2</v>
      </c>
      <c r="D89" s="206"/>
      <c r="E89" s="258">
        <f>E88*Exchange_Rate/Dashboard!G3</f>
        <v>2.5860397213368146E-2</v>
      </c>
      <c r="F89" s="206"/>
      <c r="H89" s="258">
        <f>H88*Exchange_Rate/Dashboard!G3</f>
        <v>2.5860397213368146E-2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5</v>
      </c>
      <c r="E93" s="87" t="s">
        <v>195</v>
      </c>
      <c r="F93" s="143">
        <f>FV(E87,D93,0,-(E86/(C93-D94)))*Exchange_Rate</f>
        <v>66.886458550692552</v>
      </c>
      <c r="H93" s="87" t="s">
        <v>195</v>
      </c>
      <c r="I93" s="143">
        <f>FV(H87,D93,0,-(H86/(C93-D94)))*Exchange_Rate</f>
        <v>66.886458550692552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26.025497943979921</v>
      </c>
      <c r="H94" s="87" t="s">
        <v>196</v>
      </c>
      <c r="I94" s="143">
        <f>FV(H89,D93,0,-(H88/(C93-D94)))*Exchange_Rate</f>
        <v>26.025497943979921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86785432.078336924</v>
      </c>
      <c r="D97" s="210"/>
      <c r="E97" s="122">
        <f>PV(C94,D93,0,-F93)</f>
        <v>33.25439109789771</v>
      </c>
      <c r="F97" s="210"/>
      <c r="H97" s="122">
        <f>PV(C94,D93,0,-I93)</f>
        <v>33.25439109789771</v>
      </c>
      <c r="I97" s="122">
        <f>PV(C93,D93,0,-I93)</f>
        <v>45.39030999693383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86785432.078336924</v>
      </c>
      <c r="D100" s="109">
        <f>MIN(F100*(1-C94),E100)</f>
        <v>28.266232433213052</v>
      </c>
      <c r="E100" s="109">
        <f>MAX(E97+H98+E99,0)</f>
        <v>33.25439109789771</v>
      </c>
      <c r="F100" s="109">
        <f>(E100+H100)/2</f>
        <v>33.25439109789771</v>
      </c>
      <c r="H100" s="109">
        <f>MAX(C100*Data!$C$4/Common_Shares,0)</f>
        <v>33.25439109789771</v>
      </c>
      <c r="I100" s="109">
        <f>MAX(I97+H98+H99,0)</f>
        <v>45.39030999693383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33768181.677766234</v>
      </c>
      <c r="D103" s="109">
        <f>MIN(F103*(1-C94),E103)</f>
        <v>10.998381286955249</v>
      </c>
      <c r="E103" s="122">
        <f>PV(C94,D93,0,-F94)</f>
        <v>12.939272102300293</v>
      </c>
      <c r="F103" s="109">
        <f>(E103+H103)/2</f>
        <v>12.939272102300293</v>
      </c>
      <c r="H103" s="122">
        <f>PV(C94,D93,0,-I94)</f>
        <v>12.939272102300293</v>
      </c>
      <c r="I103" s="109">
        <f>PV(C93,D93,0,-I94)</f>
        <v>17.661353958612018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60276806.878051579</v>
      </c>
      <c r="D106" s="109">
        <f>(D100+D103)/2</f>
        <v>19.632306860084149</v>
      </c>
      <c r="E106" s="122">
        <f>(E100+E103)/2</f>
        <v>23.096831600099001</v>
      </c>
      <c r="F106" s="109">
        <f>(F100+F103)/2</f>
        <v>23.096831600099001</v>
      </c>
      <c r="H106" s="122">
        <f>(H100+H103)/2</f>
        <v>23.096831600099001</v>
      </c>
      <c r="I106" s="122">
        <f>(I100+I103)/2</f>
        <v>31.525831977772924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