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7549AAD-2D1E-4347-8800-8C0C3F9B856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" i="3"/>
  <c r="D3" i="3"/>
  <c r="I3" i="3" s="1"/>
  <c r="I49" i="3"/>
  <c r="C34" i="2"/>
  <c r="C30" i="2"/>
  <c r="E34" i="2"/>
  <c r="F34" i="2"/>
  <c r="G34" i="2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G27" i="2"/>
  <c r="D27" i="2"/>
  <c r="F27" i="2"/>
  <c r="E27" i="2"/>
  <c r="D3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<sst xmlns="http://schemas.openxmlformats.org/spreadsheetml/2006/main" count="392" uniqueCount="275">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</sst>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270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1333333500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237</v>
      </c>
      <c r="C15" s="175" t="s">
        <v>242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240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1615585</v>
      </c>
      <c r="D25" s="148">
        <v>1446638</v>
      </c>
      <c r="E25" s="148">
        <v>1769157</v>
      </c>
      <c r="F25" s="148">
        <v>1702154</v>
      </c>
      <c r="G25" s="148">
        <v>1383402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897327</v>
      </c>
      <c r="D26" s="149">
        <v>845264</v>
      </c>
      <c r="E26" s="149">
        <v>981731</v>
      </c>
      <c r="F26" s="149">
        <v>959572</v>
      </c>
      <c r="G26" s="149">
        <v>783542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613104</v>
      </c>
      <c r="D27" s="149">
        <v>599182</v>
      </c>
      <c r="E27" s="149">
        <v>705390</v>
      </c>
      <c r="F27" s="149">
        <v>456610</v>
      </c>
      <c r="G27" s="149">
        <v>396643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238</v>
      </c>
      <c r="C29" s="149">
        <v>1003</v>
      </c>
      <c r="D29" s="149">
        <v>863</v>
      </c>
      <c r="E29" s="149">
        <v>1613</v>
      </c>
      <c r="F29" s="149">
        <v>2645</v>
      </c>
      <c r="G29" s="149">
        <v>299</v>
      </c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2199</v>
      </c>
      <c r="D30" s="149">
        <v>645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-169280</v>
      </c>
      <c r="D31" s="149">
        <v>-50846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35974</v>
      </c>
      <c r="D32" s="149">
        <v>32106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15312</v>
      </c>
      <c r="D33" s="149">
        <v>11600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642877</v>
      </c>
      <c r="D37" s="149">
        <v>734909</v>
      </c>
      <c r="E37" s="149">
        <v>677999</v>
      </c>
      <c r="F37" s="149">
        <v>1352795</v>
      </c>
      <c r="G37" s="149">
        <v>1205068</v>
      </c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>
        <v>18682</v>
      </c>
      <c r="E38" s="149">
        <v>61277</v>
      </c>
      <c r="F38" s="149">
        <v>51229</v>
      </c>
      <c r="G38" s="149">
        <v>23195</v>
      </c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6202</v>
      </c>
      <c r="E39" s="149">
        <v>5517</v>
      </c>
      <c r="F39" s="149">
        <v>301783</v>
      </c>
      <c r="G39" s="149">
        <v>3225</v>
      </c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10412</v>
      </c>
      <c r="E40" s="149">
        <v>9392</v>
      </c>
      <c r="F40" s="149">
        <v>5096</v>
      </c>
      <c r="G40" s="149">
        <v>6880</v>
      </c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3027292</v>
      </c>
      <c r="D41" s="149">
        <v>2824568</v>
      </c>
      <c r="E41" s="149">
        <v>2735259</v>
      </c>
      <c r="F41" s="149">
        <v>250534</v>
      </c>
      <c r="G41" s="149">
        <v>13930</v>
      </c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3990</v>
      </c>
      <c r="D42" s="149">
        <v>7297</v>
      </c>
      <c r="E42" s="149">
        <v>1498</v>
      </c>
      <c r="F42" s="149">
        <v>2853</v>
      </c>
      <c r="G42" s="149">
        <v>696</v>
      </c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v>2868641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0.1178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234</v>
      </c>
      <c r="C45" s="151">
        <f>IF(C44="","",C44*Exchange_Rate/Dashboard!$G$3)</f>
        <v>6.6580892273568185E-2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2385307</v>
      </c>
      <c r="D48" s="60">
        <v>0.9</v>
      </c>
      <c r="E48" s="112"/>
    </row>
    <row r="49" spans="2:5" ht="13.9" x14ac:dyDescent="0.4">
      <c r="B49" s="1" t="s">
        <v>130</v>
      </c>
      <c r="C49" s="59">
        <v>0</v>
      </c>
      <c r="D49" s="60">
        <v>0.8</v>
      </c>
      <c r="E49" s="112"/>
    </row>
    <row r="50" spans="2:5" ht="13.9" x14ac:dyDescent="0.4">
      <c r="B50" s="3" t="s">
        <v>112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0</v>
      </c>
      <c r="D51" s="60">
        <v>0.6</v>
      </c>
      <c r="E51" s="112"/>
    </row>
    <row r="52" spans="2:5" ht="13.9" x14ac:dyDescent="0.4">
      <c r="B52" s="3" t="s">
        <v>40</v>
      </c>
      <c r="C52" s="59">
        <v>253051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244</v>
      </c>
      <c r="C54" s="59">
        <v>0</v>
      </c>
      <c r="D54" s="60">
        <v>0.1</v>
      </c>
      <c r="E54" s="112"/>
    </row>
    <row r="55" spans="2:5" ht="13.9" x14ac:dyDescent="0.4">
      <c r="B55" s="3" t="s">
        <v>43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>
        <v>0</v>
      </c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47</v>
      </c>
      <c r="C59" s="119">
        <v>0</v>
      </c>
      <c r="D59" s="194">
        <f>D70</f>
        <v>0.05</v>
      </c>
      <c r="E59" s="112"/>
    </row>
    <row r="60" spans="2:5" ht="13.9" x14ac:dyDescent="0.4">
      <c r="B60" s="3" t="s">
        <v>57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243</v>
      </c>
      <c r="C64" s="59">
        <v>0</v>
      </c>
      <c r="D64" s="60">
        <v>0.4</v>
      </c>
      <c r="E64" s="112"/>
    </row>
    <row r="65" spans="2:5" ht="13.9" x14ac:dyDescent="0.4">
      <c r="B65" s="3" t="s">
        <v>66</v>
      </c>
      <c r="C65" s="59">
        <v>1500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9704</v>
      </c>
      <c r="D70" s="60">
        <v>0.05</v>
      </c>
      <c r="E70" s="112"/>
    </row>
    <row r="71" spans="2:5" ht="13.9" x14ac:dyDescent="0.4">
      <c r="B71" s="3" t="s">
        <v>71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13416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20583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>
        <v>30946</v>
      </c>
    </row>
    <row r="83" spans="2:8" ht="14.25" hidden="1" thickTop="1" x14ac:dyDescent="0.4">
      <c r="B83" s="73" t="s">
        <v>267</v>
      </c>
      <c r="C83" s="214">
        <v>3023302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273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1615585</v>
      </c>
      <c r="D91" s="206"/>
      <c r="E91" s="248">
        <f>C91</f>
        <v>1615585</v>
      </c>
      <c r="F91" s="248">
        <f>C91</f>
        <v>1615585</v>
      </c>
    </row>
    <row r="92" spans="2:8" ht="13.9" x14ac:dyDescent="0.4">
      <c r="B92" s="104" t="s">
        <v>102</v>
      </c>
      <c r="C92" s="77">
        <f>C26</f>
        <v>897327</v>
      </c>
      <c r="D92" s="158">
        <f>C92/C91</f>
        <v>0.55541924442229906</v>
      </c>
      <c r="E92" s="249">
        <f>E91*D92</f>
        <v>897327</v>
      </c>
      <c r="F92" s="249">
        <f>F91*D92</f>
        <v>897327</v>
      </c>
    </row>
    <row r="93" spans="2:8" ht="13.9" x14ac:dyDescent="0.4">
      <c r="B93" s="104" t="s">
        <v>230</v>
      </c>
      <c r="C93" s="77">
        <f>C27+C28</f>
        <v>613104</v>
      </c>
      <c r="D93" s="158">
        <f>C93/C91</f>
        <v>0.37949349616392825</v>
      </c>
      <c r="E93" s="249">
        <f>E91*D93</f>
        <v>613104</v>
      </c>
      <c r="F93" s="249">
        <f>F91*D93</f>
        <v>613104</v>
      </c>
    </row>
    <row r="94" spans="2:8" ht="13.9" x14ac:dyDescent="0.4">
      <c r="B94" s="104" t="s">
        <v>238</v>
      </c>
      <c r="C94" s="77">
        <f>C29</f>
        <v>1003</v>
      </c>
      <c r="D94" s="158">
        <f>C94/C91</f>
        <v>6.208277497005729E-4</v>
      </c>
      <c r="E94" s="250"/>
      <c r="F94" s="249">
        <f>F91*D94</f>
        <v>1003.0000000000001</v>
      </c>
    </row>
    <row r="95" spans="2:8" ht="13.9" x14ac:dyDescent="0.4">
      <c r="B95" s="28" t="s">
        <v>229</v>
      </c>
      <c r="C95" s="77">
        <f>ABS(MAX(C33,0)-C32)</f>
        <v>20662</v>
      </c>
      <c r="D95" s="158">
        <f>C95/C91</f>
        <v>1.2789175437999239E-2</v>
      </c>
      <c r="E95" s="249">
        <f>E91*D95</f>
        <v>20662</v>
      </c>
      <c r="F95" s="249">
        <f>F91*D95</f>
        <v>20662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2932</v>
      </c>
      <c r="D97" s="158">
        <f>C97/C91</f>
        <v>1.8148224946381651E-3</v>
      </c>
      <c r="E97" s="250"/>
      <c r="F97" s="249">
        <f>F91*D97</f>
        <v>2932</v>
      </c>
    </row>
    <row r="98" spans="2:7" ht="13.9" x14ac:dyDescent="0.4">
      <c r="B98" s="86" t="s">
        <v>193</v>
      </c>
      <c r="C98" s="234">
        <f>C44</f>
        <v>0.1178</v>
      </c>
      <c r="D98" s="263"/>
      <c r="E98" s="251">
        <f>F98</f>
        <v>0.1178</v>
      </c>
      <c r="F98" s="251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6601.HK</v>
      </c>
      <c r="D3" s="290"/>
      <c r="E3" s="87"/>
      <c r="F3" s="3" t="s">
        <v>1</v>
      </c>
      <c r="G3" s="131">
        <v>1.89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朝云集团</v>
      </c>
      <c r="D4" s="292"/>
      <c r="E4" s="87"/>
      <c r="F4" s="3" t="s">
        <v>2</v>
      </c>
      <c r="G4" s="295">
        <f>Inputs!C10</f>
        <v>1333333500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2520.0003149999998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C0007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>
        <f>C23*C22*(1/C21)</f>
        <v>3.3811375773905486E-2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>
        <f>Data!C53</f>
        <v>0.82375007799368372</v>
      </c>
      <c r="F21" s="87"/>
      <c r="G21" s="29"/>
    </row>
    <row r="22" spans="1:8" ht="15.75" customHeight="1" x14ac:dyDescent="0.4">
      <c r="B22" s="276" t="s">
        <v>264</v>
      </c>
      <c r="C22" s="277">
        <f>Data!C48</f>
        <v>0.44019362596109335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6.3272436919134561E-2</v>
      </c>
      <c r="F23" s="139" t="s">
        <v>175</v>
      </c>
      <c r="G23" s="176">
        <f>G3/(Data!C34*Data!C4/Common_Shares*Exchange_Rate)</f>
        <v>0.77925600405650919</v>
      </c>
    </row>
    <row r="24" spans="1:8" ht="15.75" customHeight="1" x14ac:dyDescent="0.4">
      <c r="B24" s="136" t="s">
        <v>257</v>
      </c>
      <c r="C24" s="170">
        <f>Fin_Analysis!I81</f>
        <v>6.208277497005729E-4</v>
      </c>
      <c r="F24" s="139" t="s">
        <v>241</v>
      </c>
      <c r="G24" s="265">
        <f>G3/(Fin_Analysis!H86*G7)</f>
        <v>39.045404157424557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2.5996778479834153</v>
      </c>
    </row>
    <row r="26" spans="1:8" ht="15.75" customHeight="1" x14ac:dyDescent="0.4">
      <c r="B26" s="137" t="s">
        <v>259</v>
      </c>
      <c r="C26" s="170">
        <f>Fin_Analysis!I80+Fin_Analysis!I82</f>
        <v>1.2789175437999239E-2</v>
      </c>
      <c r="F26" s="140" t="s">
        <v>179</v>
      </c>
      <c r="G26" s="177">
        <f>Fin_Analysis!H88*Exchange_Rate/G3</f>
        <v>6.6580892273568185E-2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239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1.3538376008156507</v>
      </c>
      <c r="D29" s="128">
        <f>G29*(1+G20)</f>
        <v>2.2258564343420009</v>
      </c>
      <c r="E29" s="87"/>
      <c r="F29" s="130">
        <f>IF(Fin_Analysis!C108="Profit",Fin_Analysis!F100,IF(Fin_Analysis!C108="Dividend",Fin_Analysis!F103,Fin_Analysis!F106))</f>
        <v>1.5927501186066479</v>
      </c>
      <c r="G29" s="286">
        <f>IF(Fin_Analysis!C108="Profit",Fin_Analysis!I100,IF(Fin_Analysis!C108="Dividend",Fin_Analysis!I103,Fin_Analysis!I106))</f>
        <v>1.9355273342104358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1615585</v>
      </c>
      <c r="D6" s="199">
        <f>IF(Inputs!D25="","",Inputs!D25)</f>
        <v>1446638</v>
      </c>
      <c r="E6" s="199">
        <f>IF(Inputs!E25="","",Inputs!E25)</f>
        <v>1769157</v>
      </c>
      <c r="F6" s="199">
        <f>IF(Inputs!F25="","",Inputs!F25)</f>
        <v>1702154</v>
      </c>
      <c r="G6" s="199">
        <f>IF(Inputs!G25="","",Inputs!G25)</f>
        <v>1383402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897327</v>
      </c>
      <c r="D8" s="198">
        <f>IF(Inputs!D26="","",Inputs!D26)</f>
        <v>845264</v>
      </c>
      <c r="E8" s="198">
        <f>IF(Inputs!E26="","",Inputs!E26)</f>
        <v>981731</v>
      </c>
      <c r="F8" s="198">
        <f>IF(Inputs!F26="","",Inputs!F26)</f>
        <v>959572</v>
      </c>
      <c r="G8" s="198">
        <f>IF(Inputs!G26="","",Inputs!G26)</f>
        <v>783542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718258</v>
      </c>
      <c r="D9" s="150">
        <f t="shared" si="2"/>
        <v>601374</v>
      </c>
      <c r="E9" s="150">
        <f t="shared" si="2"/>
        <v>787426</v>
      </c>
      <c r="F9" s="150">
        <f t="shared" si="2"/>
        <v>742582</v>
      </c>
      <c r="G9" s="150">
        <f t="shared" si="2"/>
        <v>599860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613104</v>
      </c>
      <c r="D10" s="198">
        <f>IF(Inputs!D27="","",Inputs!D27)</f>
        <v>599182</v>
      </c>
      <c r="E10" s="198">
        <f>IF(Inputs!E27="","",Inputs!E27)</f>
        <v>705390</v>
      </c>
      <c r="F10" s="198">
        <f>IF(Inputs!F27="","",Inputs!F27)</f>
        <v>456610</v>
      </c>
      <c r="G10" s="198">
        <f>IF(Inputs!G27="","",Inputs!G27)</f>
        <v>396643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2932</v>
      </c>
      <c r="D12" s="198">
        <f>IF(Inputs!D30="","",MAX(Inputs!D30,0)/(1-Fin_Analysis!$I$84))</f>
        <v>860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6.3272436919134561E-2</v>
      </c>
      <c r="D13" s="226">
        <f t="shared" si="3"/>
        <v>9.2075557257586215E-4</v>
      </c>
      <c r="E13" s="226">
        <f t="shared" si="3"/>
        <v>4.6370107344910601E-2</v>
      </c>
      <c r="F13" s="226">
        <f t="shared" si="3"/>
        <v>0.16800595010792208</v>
      </c>
      <c r="G13" s="226">
        <f t="shared" si="3"/>
        <v>0.14689656368864581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102222</v>
      </c>
      <c r="D14" s="227">
        <f t="shared" ref="D14:M14" si="4">IF(D6="","",D9-D10-MAX(D11,0)-MAX(D12,0))</f>
        <v>1332</v>
      </c>
      <c r="E14" s="227">
        <f t="shared" si="4"/>
        <v>82036</v>
      </c>
      <c r="F14" s="227">
        <f t="shared" si="4"/>
        <v>285972</v>
      </c>
      <c r="G14" s="227">
        <f t="shared" si="4"/>
        <v>203217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75.743243243243242</v>
      </c>
      <c r="D15" s="229">
        <f t="shared" ref="D15:M15" si="5">IF(E14="","",IF(ABS(D14+E14)=ABS(D14)+ABS(E14),IF(D14&lt;0,-1,1)*(D14-E14)/E14,"Turn"))</f>
        <v>-0.98376322590082399</v>
      </c>
      <c r="E15" s="229">
        <f t="shared" si="5"/>
        <v>-0.71313275425566136</v>
      </c>
      <c r="F15" s="229">
        <f t="shared" si="5"/>
        <v>0.40722478926467764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-169280</v>
      </c>
      <c r="D16" s="198">
        <f>IF(Inputs!D31="","",Inputs!D31)</f>
        <v>-50846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8">
        <f>IF(Inputs!C29="","",Inputs!C29)</f>
        <v>1003</v>
      </c>
      <c r="D17" s="198">
        <f>IF(Inputs!D29="","",Inputs!D29)</f>
        <v>863</v>
      </c>
      <c r="E17" s="198">
        <f>IF(Inputs!E29="","",Inputs!E29)</f>
        <v>1613</v>
      </c>
      <c r="F17" s="198">
        <f>IF(Inputs!F29="","",Inputs!F29)</f>
        <v>2645</v>
      </c>
      <c r="G17" s="198">
        <f>IF(Inputs!G29="","",Inputs!G29)</f>
        <v>299</v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2.2266856897037297E-2</v>
      </c>
      <c r="D18" s="151">
        <f t="shared" si="6"/>
        <v>2.2193527337177648E-2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35974</v>
      </c>
      <c r="D19" s="198">
        <f>IF(Inputs!D32="","",Inputs!D32)</f>
        <v>32106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9.4776814590380575E-3</v>
      </c>
      <c r="D20" s="151">
        <f t="shared" si="7"/>
        <v>8.0185920734834829E-3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15312</v>
      </c>
      <c r="D21" s="198">
        <f>IF(Inputs!D33="","",Inputs!D33)</f>
        <v>11600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80557</v>
      </c>
      <c r="D22" s="160">
        <f t="shared" ref="D22:M22" si="8">IF(D6="","",D14-MAX(D16,0)-MAX(D17,0)-ABS(MAX(D21,0)-MAX(D19,0)))</f>
        <v>-20037</v>
      </c>
      <c r="E22" s="160">
        <f t="shared" si="8"/>
        <v>80423</v>
      </c>
      <c r="F22" s="160">
        <f t="shared" si="8"/>
        <v>283327</v>
      </c>
      <c r="G22" s="160">
        <f t="shared" si="8"/>
        <v>202918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3.7396825298576054E-2</v>
      </c>
      <c r="D23" s="152">
        <f t="shared" si="9"/>
        <v>-1.0388051468300985E-2</v>
      </c>
      <c r="E23" s="152">
        <f t="shared" si="9"/>
        <v>3.4093780258055109E-2</v>
      </c>
      <c r="F23" s="152">
        <f t="shared" si="9"/>
        <v>0.12483902749104958</v>
      </c>
      <c r="G23" s="152">
        <f t="shared" si="9"/>
        <v>0.11001032237917828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 t="str">
        <f>IF(D24="","",IF(ABS(C24+D24)=ABS(C24)+ABS(D24),IF(C24&lt;0,-1,1)*(C24-D24)/D24,"Turn"))</f>
        <v>Turn</v>
      </c>
      <c r="D25" s="230" t="str">
        <f t="shared" ref="D25:M25" si="10">IF(E24="","",IF(ABS(D24+E24)=ABS(D24)+ABS(E24),IF(D24&lt;0,-1,1)*(D24-E24)/E24,"Turn"))</f>
        <v>Turn</v>
      </c>
      <c r="E25" s="230">
        <f t="shared" si="10"/>
        <v>-0.71614777271491947</v>
      </c>
      <c r="F25" s="230">
        <f t="shared" si="10"/>
        <v>0.3962635153116037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3670169</v>
      </c>
      <c r="D27" s="65">
        <f>IF(D34="","",D34+D30)</f>
        <v>3559477</v>
      </c>
      <c r="E27" s="65">
        <f t="shared" ref="E27:M27" si="20">IF(E34="","",E34+E30)</f>
        <v>3413258</v>
      </c>
      <c r="F27" s="65">
        <f t="shared" si="20"/>
        <v>1603329</v>
      </c>
      <c r="G27" s="65">
        <f t="shared" si="20"/>
        <v>1218998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180994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158110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642877</v>
      </c>
      <c r="D30" s="198">
        <f>IF(Inputs!D37="","",Inputs!D37)</f>
        <v>734909</v>
      </c>
      <c r="E30" s="198">
        <f>IF(Inputs!E37="","",Inputs!E37)</f>
        <v>677999</v>
      </c>
      <c r="F30" s="198">
        <f>IF(Inputs!F37="","",Inputs!F37)</f>
        <v>1352795</v>
      </c>
      <c r="G30" s="198">
        <f>IF(Inputs!G37="","",Inputs!G37)</f>
        <v>1205068</v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13416</v>
      </c>
      <c r="D31" s="198">
        <f>IF(Inputs!D39="","",Inputs!D39)</f>
        <v>6202</v>
      </c>
      <c r="E31" s="198">
        <f>IF(Inputs!E39="","",Inputs!E39)</f>
        <v>5517</v>
      </c>
      <c r="F31" s="198">
        <f>IF(Inputs!F39="","",Inputs!F39)</f>
        <v>301783</v>
      </c>
      <c r="G31" s="198">
        <f>IF(Inputs!G39="","",Inputs!G39)</f>
        <v>3225</v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20583</v>
      </c>
      <c r="D32" s="198">
        <f>IF(Inputs!D40="","",Inputs!D40)</f>
        <v>10412</v>
      </c>
      <c r="E32" s="198">
        <f>IF(Inputs!E40="","",Inputs!E40)</f>
        <v>9392</v>
      </c>
      <c r="F32" s="198">
        <f>IF(Inputs!F40="","",Inputs!F40)</f>
        <v>5096</v>
      </c>
      <c r="G32" s="198">
        <f>IF(Inputs!G40="","",Inputs!G40)</f>
        <v>6880</v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33999</v>
      </c>
      <c r="D33" s="77">
        <f t="shared" ref="D33" si="22">IF(OR(D31="",D32=""),"",D31+D32)</f>
        <v>16614</v>
      </c>
      <c r="E33" s="77">
        <f t="shared" ref="E33" si="23">IF(OR(E31="",E32=""),"",E31+E32)</f>
        <v>14909</v>
      </c>
      <c r="F33" s="77">
        <f t="shared" ref="F33" si="24">IF(OR(F31="",F32=""),"",F31+F32)</f>
        <v>306879</v>
      </c>
      <c r="G33" s="77">
        <f t="shared" ref="G33" si="25">IF(OR(G31="",G32=""),"",G31+G32)</f>
        <v>10105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3027292</v>
      </c>
      <c r="D34" s="198">
        <f>IF(Inputs!D41="","",Inputs!D41)</f>
        <v>2824568</v>
      </c>
      <c r="E34" s="198">
        <f>IF(Inputs!E41="","",Inputs!E41)</f>
        <v>2735259</v>
      </c>
      <c r="F34" s="198">
        <f>IF(Inputs!F41="","",Inputs!F41)</f>
        <v>250534</v>
      </c>
      <c r="G34" s="198">
        <f>IF(Inputs!G41="","",Inputs!G41)</f>
        <v>13930</v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3990</v>
      </c>
      <c r="D35" s="198">
        <f>IF(Inputs!D42="","",Inputs!D42)</f>
        <v>7297</v>
      </c>
      <c r="E35" s="198">
        <f>IF(Inputs!E42="","",Inputs!E42)</f>
        <v>1498</v>
      </c>
      <c r="F35" s="198">
        <f>IF(Inputs!F42="","",Inputs!F42)</f>
        <v>2853</v>
      </c>
      <c r="G35" s="198">
        <f>IF(Inputs!G42="","",Inputs!G42)</f>
        <v>696</v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2868641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624759</v>
      </c>
      <c r="D37" s="65">
        <f t="shared" ref="D37:M37" si="32">IF(D36="","",D27-D36)</f>
        <v>690836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0.16361829121309177</v>
      </c>
      <c r="D38" s="154">
        <f>IF(D6="","",D14/MAX(D37,0))</f>
        <v>1.9280987093897829E-3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0.55541924442229906</v>
      </c>
      <c r="D40" s="155">
        <f t="shared" si="34"/>
        <v>0.5842954491724951</v>
      </c>
      <c r="E40" s="155">
        <f t="shared" si="34"/>
        <v>0.55491457230760188</v>
      </c>
      <c r="F40" s="155">
        <f t="shared" si="34"/>
        <v>0.56373982612619067</v>
      </c>
      <c r="G40" s="155">
        <f t="shared" si="34"/>
        <v>0.56638778894348862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0.37949349616392825</v>
      </c>
      <c r="D41" s="152">
        <f t="shared" si="35"/>
        <v>0.41418931342879145</v>
      </c>
      <c r="E41" s="152">
        <f t="shared" si="35"/>
        <v>0.39871532034748752</v>
      </c>
      <c r="F41" s="152">
        <f t="shared" si="35"/>
        <v>0.2682542237658872</v>
      </c>
      <c r="G41" s="152">
        <f t="shared" si="35"/>
        <v>0.28671564736786559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6.208277497005729E-4</v>
      </c>
      <c r="D43" s="152">
        <f t="shared" si="37"/>
        <v>5.9655559994967644E-4</v>
      </c>
      <c r="E43" s="152">
        <f t="shared" si="37"/>
        <v>9.1173366750378854E-4</v>
      </c>
      <c r="F43" s="152">
        <f t="shared" si="37"/>
        <v>1.5539134531893119E-3</v>
      </c>
      <c r="G43" s="152">
        <f t="shared" si="37"/>
        <v>2.1613384974143452E-4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1.8148224946381651E-3</v>
      </c>
      <c r="D44" s="152">
        <f t="shared" si="38"/>
        <v>5.9448182613756862E-4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1.2789175437999239E-2</v>
      </c>
      <c r="D45" s="152">
        <f t="shared" si="39"/>
        <v>1.4174935263694165E-2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4.9862433731434744E-2</v>
      </c>
      <c r="D46" s="152">
        <f t="shared" si="40"/>
        <v>-1.385073529106798E-2</v>
      </c>
      <c r="E46" s="152">
        <f t="shared" si="40"/>
        <v>4.5458373677406808E-2</v>
      </c>
      <c r="F46" s="152">
        <f t="shared" si="40"/>
        <v>0.16645203665473277</v>
      </c>
      <c r="G46" s="152">
        <f t="shared" si="40"/>
        <v>0.14668042983890439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>
        <f t="shared" ref="C48:M48" si="41">IF(C6="","",C6/C27)</f>
        <v>0.44019362596109335</v>
      </c>
      <c r="D48" s="269">
        <f t="shared" si="41"/>
        <v>0.40641869578030704</v>
      </c>
      <c r="E48" s="269">
        <f t="shared" si="41"/>
        <v>0.51831915430946029</v>
      </c>
      <c r="F48" s="269">
        <f t="shared" si="41"/>
        <v>1.0616373807247297</v>
      </c>
      <c r="G48" s="269">
        <f t="shared" si="41"/>
        <v>1.1348681458049972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0.11203000770618693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9.7865479067953717E-2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>
        <f t="shared" ref="C51:M51" si="44">IF(D6="","",C16/(C6-D6))</f>
        <v>-1.0019710323355846</v>
      </c>
      <c r="D51" s="152">
        <f t="shared" si="44"/>
        <v>0.15765272743621306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>
        <f t="shared" ref="C53:M53" si="45">IF(C34="","",(C34-C35)/C27)</f>
        <v>0.82375007799368372</v>
      </c>
      <c r="D53" s="155">
        <f t="shared" si="45"/>
        <v>0.79148453550900877</v>
      </c>
      <c r="E53" s="155">
        <f t="shared" si="45"/>
        <v>0.80092421961656579</v>
      </c>
      <c r="F53" s="155">
        <f t="shared" si="45"/>
        <v>0.15447921169017712</v>
      </c>
      <c r="G53" s="155">
        <f t="shared" si="45"/>
        <v>1.0856457516747362E-2</v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2.369393217447572</v>
      </c>
      <c r="D54" s="156">
        <f t="shared" si="46"/>
        <v>-1.2060310581437341</v>
      </c>
      <c r="E54" s="156">
        <f t="shared" si="46"/>
        <v>5.3942585015762292</v>
      </c>
      <c r="F54" s="156">
        <f t="shared" si="46"/>
        <v>0.92325313885928983</v>
      </c>
      <c r="G54" s="156">
        <f t="shared" si="46"/>
        <v>20.080950024740229</v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1.2450811226833175E-2</v>
      </c>
      <c r="D55" s="152">
        <f t="shared" si="47"/>
        <v>-4.3070319908169882E-2</v>
      </c>
      <c r="E55" s="152">
        <f t="shared" si="47"/>
        <v>2.0056451512626985E-2</v>
      </c>
      <c r="F55" s="152">
        <f t="shared" si="47"/>
        <v>9.3355027935918562E-3</v>
      </c>
      <c r="G55" s="152">
        <f t="shared" si="47"/>
        <v>1.4735016114883846E-3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>
        <f t="shared" ref="C58:M58" si="49">IF(C14="","",C14/(C34-C35))</f>
        <v>3.3811375773905486E-2</v>
      </c>
      <c r="D58" s="271">
        <f t="shared" si="49"/>
        <v>4.7279796654279974E-4</v>
      </c>
      <c r="E58" s="271">
        <f t="shared" si="49"/>
        <v>3.0008475503162126E-2</v>
      </c>
      <c r="F58" s="271">
        <f t="shared" si="49"/>
        <v>1.1545980515259548</v>
      </c>
      <c r="G58" s="271">
        <f t="shared" si="49"/>
        <v>15.355674777089316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>
        <f t="shared" ref="C59:M59" si="50">IF(C22="","",C22/(C34-C35))</f>
        <v>2.6645369863811157E-2</v>
      </c>
      <c r="D59" s="271">
        <f t="shared" si="50"/>
        <v>-7.1122018435571159E-3</v>
      </c>
      <c r="E59" s="271">
        <f t="shared" si="50"/>
        <v>2.9418445869993756E-2</v>
      </c>
      <c r="F59" s="271">
        <f t="shared" si="50"/>
        <v>1.143918992575127</v>
      </c>
      <c r="G59" s="271">
        <f t="shared" si="50"/>
        <v>15.333081456853559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3027292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3023302</v>
      </c>
      <c r="K3" s="24"/>
    </row>
    <row r="4" spans="1:11" ht="15" customHeight="1" x14ac:dyDescent="0.4">
      <c r="B4" s="3" t="s">
        <v>23</v>
      </c>
      <c r="C4" s="87"/>
      <c r="D4" s="198">
        <f>Inputs!C42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4.8753437887604978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1983621.5</v>
      </c>
      <c r="E6" s="56">
        <f>1-D6/D3</f>
        <v>0.34475382619185724</v>
      </c>
      <c r="F6" s="87"/>
      <c r="G6" s="87"/>
      <c r="H6" s="1" t="s">
        <v>26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1.5892277532039187</v>
      </c>
      <c r="E7" s="11" t="str">
        <f>Dashboard!H3</f>
        <v>HKD</v>
      </c>
      <c r="H7" s="1" t="s">
        <v>27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2385307</v>
      </c>
      <c r="D11" s="197">
        <f>Inputs!D48</f>
        <v>0.9</v>
      </c>
      <c r="E11" s="88">
        <f t="shared" ref="E11:E22" si="0">C11*D11</f>
        <v>2146776.3000000003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13416</v>
      </c>
      <c r="J12" s="87"/>
      <c r="K12" s="24"/>
    </row>
    <row r="13" spans="1:11" ht="13.9" x14ac:dyDescent="0.4">
      <c r="B13" s="3" t="s">
        <v>112</v>
      </c>
      <c r="C13" s="40">
        <f>Inputs!C50</f>
        <v>180994</v>
      </c>
      <c r="D13" s="197">
        <f>Inputs!D50</f>
        <v>0.6</v>
      </c>
      <c r="E13" s="88">
        <f t="shared" si="0"/>
        <v>108596.4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253051</v>
      </c>
      <c r="D15" s="197">
        <f>Inputs!D52</f>
        <v>0.5</v>
      </c>
      <c r="E15" s="88">
        <f t="shared" si="0"/>
        <v>126525.5</v>
      </c>
      <c r="F15" s="112"/>
      <c r="G15" s="87"/>
      <c r="H15" s="1" t="s">
        <v>50</v>
      </c>
      <c r="I15" s="84">
        <f>SUM(I11:I14)</f>
        <v>13416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158110</v>
      </c>
      <c r="D18" s="197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5912</v>
      </c>
      <c r="D21" s="197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51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52</v>
      </c>
      <c r="I25" s="63">
        <f>E28/I28</f>
        <v>4.0303138752571774</v>
      </c>
    </row>
    <row r="26" spans="2:10" ht="15" customHeight="1" x14ac:dyDescent="0.4">
      <c r="B26" s="23" t="s">
        <v>53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54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56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4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279425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126127</v>
      </c>
      <c r="D31" s="197">
        <f>Inputs!D61</f>
        <v>0.6</v>
      </c>
      <c r="E31" s="88">
        <f t="shared" ref="E31:E42" si="1">C31*D31</f>
        <v>75676.2</v>
      </c>
      <c r="F31" s="112"/>
      <c r="G31" s="87"/>
      <c r="H31" s="3" t="s">
        <v>60</v>
      </c>
      <c r="I31" s="40">
        <f>Inputs!C79</f>
        <v>20583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20583</v>
      </c>
      <c r="J34" s="87"/>
    </row>
    <row r="35" spans="2:10" ht="13.9" x14ac:dyDescent="0.4">
      <c r="B35" s="3" t="s">
        <v>66</v>
      </c>
      <c r="C35" s="40">
        <f>Inputs!C65</f>
        <v>1500</v>
      </c>
      <c r="D35" s="197">
        <f>Inputs!D65</f>
        <v>0.1</v>
      </c>
      <c r="E35" s="88">
        <f t="shared" si="1"/>
        <v>150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193915</v>
      </c>
      <c r="D38" s="197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9704</v>
      </c>
      <c r="D40" s="197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76124</v>
      </c>
      <c r="D41" s="197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77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79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81</v>
      </c>
      <c r="I48" s="281">
        <f>I49-I28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82</v>
      </c>
      <c r="I49" s="40">
        <f>Inputs!C37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33999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2664732</v>
      </c>
      <c r="D62" s="107">
        <f t="shared" si="2"/>
        <v>0.80562559386835164</v>
      </c>
      <c r="E62" s="117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1615585</v>
      </c>
      <c r="D74" s="206"/>
      <c r="E74" s="235">
        <f>Inputs!E91</f>
        <v>1615585</v>
      </c>
      <c r="F74" s="206"/>
      <c r="H74" s="235">
        <f>Inputs!F91</f>
        <v>1615585</v>
      </c>
      <c r="I74" s="206"/>
      <c r="K74" s="24"/>
    </row>
    <row r="75" spans="1:11" ht="15" customHeight="1" x14ac:dyDescent="0.4">
      <c r="B75" s="104" t="s">
        <v>102</v>
      </c>
      <c r="C75" s="77">
        <f>Data!C8</f>
        <v>897327</v>
      </c>
      <c r="D75" s="158">
        <f>C75/$C$74</f>
        <v>0.55541924442229906</v>
      </c>
      <c r="E75" s="235">
        <f>Inputs!E92</f>
        <v>897327</v>
      </c>
      <c r="F75" s="159">
        <f>E75/E74</f>
        <v>0.55541924442229906</v>
      </c>
      <c r="H75" s="235">
        <f>Inputs!F92</f>
        <v>897327</v>
      </c>
      <c r="I75" s="159">
        <f>H75/$H$74</f>
        <v>0.55541924442229906</v>
      </c>
      <c r="K75" s="24"/>
    </row>
    <row r="76" spans="1:11" ht="15" customHeight="1" x14ac:dyDescent="0.4">
      <c r="B76" s="35" t="s">
        <v>92</v>
      </c>
      <c r="C76" s="160">
        <f>C74-C75</f>
        <v>718258</v>
      </c>
      <c r="D76" s="207"/>
      <c r="E76" s="161">
        <f>E74-E75</f>
        <v>718258</v>
      </c>
      <c r="F76" s="207"/>
      <c r="H76" s="161">
        <f>H74-H75</f>
        <v>718258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613104</v>
      </c>
      <c r="D77" s="158">
        <f>C77/$C$74</f>
        <v>0.37949349616392825</v>
      </c>
      <c r="E77" s="235">
        <f>Inputs!E93</f>
        <v>613104</v>
      </c>
      <c r="F77" s="159">
        <f>E77/E74</f>
        <v>0.37949349616392825</v>
      </c>
      <c r="H77" s="235">
        <f>Inputs!F93</f>
        <v>613104</v>
      </c>
      <c r="I77" s="159">
        <f>H77/$H$74</f>
        <v>0.37949349616392825</v>
      </c>
      <c r="K77" s="24"/>
    </row>
    <row r="78" spans="1:11" ht="15" customHeight="1" x14ac:dyDescent="0.4">
      <c r="B78" s="73" t="s">
        <v>161</v>
      </c>
      <c r="C78" s="77">
        <f>MAX(Data!C12,0)</f>
        <v>2932</v>
      </c>
      <c r="D78" s="158">
        <f>C78/$C$74</f>
        <v>1.8148224946381651E-3</v>
      </c>
      <c r="E78" s="179">
        <f>E74*F78</f>
        <v>2932</v>
      </c>
      <c r="F78" s="159">
        <f>I78</f>
        <v>1.8148224946381651E-3</v>
      </c>
      <c r="H78" s="235">
        <f>Inputs!F97</f>
        <v>2932</v>
      </c>
      <c r="I78" s="159">
        <f>H78/$H$74</f>
        <v>1.8148224946381651E-3</v>
      </c>
      <c r="K78" s="24"/>
    </row>
    <row r="79" spans="1:11" ht="15" customHeight="1" x14ac:dyDescent="0.4">
      <c r="B79" s="253" t="s">
        <v>217</v>
      </c>
      <c r="C79" s="254">
        <f>C76-C77-C78</f>
        <v>102222</v>
      </c>
      <c r="D79" s="255">
        <f>C79/C74</f>
        <v>6.3272436919134561E-2</v>
      </c>
      <c r="E79" s="256">
        <f>E76-E77-E78</f>
        <v>102222</v>
      </c>
      <c r="F79" s="255">
        <f>E79/E74</f>
        <v>6.3272436919134561E-2</v>
      </c>
      <c r="G79" s="257"/>
      <c r="H79" s="256">
        <f>H76-H77-H78</f>
        <v>102222</v>
      </c>
      <c r="I79" s="255">
        <f>H79/H74</f>
        <v>6.3272436919134561E-2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238</v>
      </c>
      <c r="C81" s="77">
        <f>MAX(Data!C17,0)</f>
        <v>1003</v>
      </c>
      <c r="D81" s="158">
        <f>C81/$C$74</f>
        <v>6.208277497005729E-4</v>
      </c>
      <c r="E81" s="179">
        <f>E74*F81</f>
        <v>1003.0000000000001</v>
      </c>
      <c r="F81" s="159">
        <f>I81</f>
        <v>6.208277497005729E-4</v>
      </c>
      <c r="H81" s="235">
        <f>Inputs!F94</f>
        <v>1003.0000000000001</v>
      </c>
      <c r="I81" s="159">
        <f>H81/$H$74</f>
        <v>6.208277497005729E-4</v>
      </c>
      <c r="K81" s="24"/>
    </row>
    <row r="82" spans="1:11" ht="15" customHeight="1" x14ac:dyDescent="0.4">
      <c r="B82" s="28" t="s">
        <v>229</v>
      </c>
      <c r="C82" s="77">
        <f>ABS(MAX(Data!C21,0)-MAX(Data!C19,0))</f>
        <v>20662</v>
      </c>
      <c r="D82" s="158">
        <f>C82/$C$74</f>
        <v>1.2789175437999239E-2</v>
      </c>
      <c r="E82" s="235">
        <f>Inputs!E95</f>
        <v>20662</v>
      </c>
      <c r="F82" s="159">
        <f>E82/E74</f>
        <v>1.2789175437999239E-2</v>
      </c>
      <c r="H82" s="235">
        <f>Inputs!F95</f>
        <v>20662</v>
      </c>
      <c r="I82" s="159">
        <f>H82/$H$74</f>
        <v>1.2789175437999239E-2</v>
      </c>
      <c r="K82" s="24"/>
    </row>
    <row r="83" spans="1:11" ht="15" customHeight="1" thickBot="1" x14ac:dyDescent="0.45">
      <c r="B83" s="105" t="s">
        <v>120</v>
      </c>
      <c r="C83" s="162">
        <f>C79-C81-C82-C80</f>
        <v>80557</v>
      </c>
      <c r="D83" s="163">
        <f>C83/$C$74</f>
        <v>4.9862433731434744E-2</v>
      </c>
      <c r="E83" s="164">
        <f>E79-E81-E82-E80</f>
        <v>80557</v>
      </c>
      <c r="F83" s="163">
        <f>E83/E74</f>
        <v>4.9862433731434744E-2</v>
      </c>
      <c r="H83" s="164">
        <f>H79-H81-H82-H80</f>
        <v>80557</v>
      </c>
      <c r="I83" s="163">
        <f>H83/$H$74</f>
        <v>4.9862433731434744E-2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60417.75</v>
      </c>
      <c r="D85" s="255">
        <f>C85/$C$74</f>
        <v>3.7396825298576054E-2</v>
      </c>
      <c r="E85" s="261">
        <f>E83*(1-F84)</f>
        <v>60417.75</v>
      </c>
      <c r="F85" s="255">
        <f>E85/E74</f>
        <v>3.7396825298576054E-2</v>
      </c>
      <c r="G85" s="257"/>
      <c r="H85" s="261">
        <f>H83*(1-I84)</f>
        <v>60417.75</v>
      </c>
      <c r="I85" s="255">
        <f>H85/$H$74</f>
        <v>3.7396825298576054E-2</v>
      </c>
      <c r="K85" s="24"/>
    </row>
    <row r="86" spans="1:11" ht="15" customHeight="1" x14ac:dyDescent="0.4">
      <c r="B86" s="87" t="s">
        <v>152</v>
      </c>
      <c r="C86" s="166">
        <f>C85*Data!C4/Common_Shares</f>
        <v>4.5313306835836648E-2</v>
      </c>
      <c r="D86" s="206"/>
      <c r="E86" s="167">
        <f>E85*Data!C4/Common_Shares</f>
        <v>4.5313306835836648E-2</v>
      </c>
      <c r="F86" s="206"/>
      <c r="H86" s="167">
        <f>H85*Data!C4/Common_Shares</f>
        <v>4.5313306835836648E-2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2.5611208836977761E-2</v>
      </c>
      <c r="D87" s="206"/>
      <c r="E87" s="259">
        <f>E86*Exchange_Rate/Dashboard!G3</f>
        <v>2.5611208836977761E-2</v>
      </c>
      <c r="F87" s="206"/>
      <c r="H87" s="259">
        <f>H86*Exchange_Rate/Dashboard!G3</f>
        <v>2.5611208836977761E-2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0.1178</v>
      </c>
      <c r="D88" s="165">
        <f>C88/C86</f>
        <v>2.5996778479834153</v>
      </c>
      <c r="E88" s="169">
        <f>Inputs!E98</f>
        <v>0.1178</v>
      </c>
      <c r="F88" s="165">
        <f>E88/E86</f>
        <v>2.5996778479834153</v>
      </c>
      <c r="H88" s="169">
        <f>Inputs!F98</f>
        <v>0.1178</v>
      </c>
      <c r="I88" s="165">
        <f>H88/H86</f>
        <v>2.5996778479834153</v>
      </c>
      <c r="K88" s="24"/>
    </row>
    <row r="89" spans="1:11" ht="15" customHeight="1" x14ac:dyDescent="0.4">
      <c r="B89" s="87" t="s">
        <v>206</v>
      </c>
      <c r="C89" s="258">
        <f>C88*Exchange_Rate/Dashboard!G3</f>
        <v>6.6580892273568185E-2</v>
      </c>
      <c r="D89" s="206"/>
      <c r="E89" s="258">
        <f>E88*Exchange_Rate/Dashboard!G3</f>
        <v>6.6580892273568185E-2</v>
      </c>
      <c r="F89" s="206"/>
      <c r="H89" s="258">
        <f>H88*Exchange_Rate/Dashboard!G3</f>
        <v>6.6580892273568185E-2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0.82912458302001923</v>
      </c>
      <c r="H93" s="87" t="s">
        <v>195</v>
      </c>
      <c r="I93" s="143">
        <f>FV(H87,D93,0,-(H86/(C93-D94)))*Exchange_Rate</f>
        <v>0.82912458302001923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2.6217696267795843</v>
      </c>
      <c r="H94" s="87" t="s">
        <v>196</v>
      </c>
      <c r="I94" s="143">
        <f>FV(H89,D93,0,-(H88/(C93-D94)))*Exchange_Rate</f>
        <v>2.6217696267795843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549628.67315884097</v>
      </c>
      <c r="D97" s="210"/>
      <c r="E97" s="122">
        <f>PV(C94,D93,0,-F93)</f>
        <v>0.41222145334144905</v>
      </c>
      <c r="F97" s="210"/>
      <c r="H97" s="122">
        <f>PV(C94,D93,0,-I93)</f>
        <v>0.41222145334144905</v>
      </c>
      <c r="I97" s="122">
        <f>PV(C93,D93,0,-I93)</f>
        <v>0.548240158805963</v>
      </c>
      <c r="K97" s="24"/>
    </row>
    <row r="98" spans="2:11" ht="15" customHeight="1" x14ac:dyDescent="0.4">
      <c r="B98" s="28" t="s">
        <v>139</v>
      </c>
      <c r="C98" s="91">
        <f>-E53*Exchange_Rate</f>
        <v>-4262.2509908676147</v>
      </c>
      <c r="D98" s="210"/>
      <c r="E98" s="210"/>
      <c r="F98" s="210"/>
      <c r="H98" s="122">
        <f>C98*Data!$C$4/Common_Shares</f>
        <v>-3.1966878435647308E-3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2123232.8534673848</v>
      </c>
      <c r="D99" s="211"/>
      <c r="E99" s="144">
        <f>IF(H99&gt;0,H99*(1-C94),H99*(1+C94))</f>
        <v>1.3535607748903609</v>
      </c>
      <c r="F99" s="211"/>
      <c r="H99" s="144">
        <f>C99*Data!$C$4/Common_Shares</f>
        <v>1.5924244410474835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2668599.2756353579</v>
      </c>
      <c r="D100" s="109">
        <f>MIN(F100*(1-C94),E100)</f>
        <v>1.5997147674467853</v>
      </c>
      <c r="E100" s="109">
        <f>MAX(E97+H98+E99,0)</f>
        <v>1.7625855403882451</v>
      </c>
      <c r="F100" s="109">
        <f>(E100+H100)/2</f>
        <v>1.8820173734668062</v>
      </c>
      <c r="H100" s="109">
        <f>MAX(C100*Data!$C$4/Common_Shares,0)</f>
        <v>2.0014492065453675</v>
      </c>
      <c r="I100" s="109">
        <f>MAX(I97+H98+H99,0)</f>
        <v>2.1374679120098818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1737977.3689091303</v>
      </c>
      <c r="D103" s="109">
        <f>MIN(F103*(1-C94),E103)</f>
        <v>1.1079604341845162</v>
      </c>
      <c r="E103" s="122">
        <f>PV(C94,D93,0,-F94)</f>
        <v>1.3034828637464897</v>
      </c>
      <c r="F103" s="109">
        <f>(E103+H103)/2</f>
        <v>1.3034828637464897</v>
      </c>
      <c r="H103" s="122">
        <f>PV(C94,D93,0,-I94)</f>
        <v>1.3034828637464897</v>
      </c>
      <c r="I103" s="109">
        <f>PV(C93,D93,0,-I94)</f>
        <v>1.7335867564109897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2044045.8582621904</v>
      </c>
      <c r="D106" s="109">
        <f>(D100+D103)/2</f>
        <v>1.3538376008156507</v>
      </c>
      <c r="E106" s="122">
        <f>(E100+E103)/2</f>
        <v>1.5330342020673675</v>
      </c>
      <c r="F106" s="109">
        <f>(F100+F103)/2</f>
        <v>1.5927501186066479</v>
      </c>
      <c r="H106" s="122">
        <f>(H100+H103)/2</f>
        <v>1.6524660351459286</v>
      </c>
      <c r="I106" s="122">
        <f>(I100+I103)/2</f>
        <v>1.9355273342104358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