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47FF75-88B3-4A8F-A0E9-5D60C0357BA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5" i="4"/>
  <c r="F96" i="4"/>
  <c r="F97" i="4"/>
  <c r="D53" i="4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<sst xmlns="http://schemas.openxmlformats.org/spreadsheetml/2006/main" count="392" uniqueCount="276">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</sst>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59085551061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272</v>
      </c>
      <c r="D18" s="24"/>
    </row>
    <row r="19" spans="2:13" ht="13.9" x14ac:dyDescent="0.4">
      <c r="B19" s="237" t="s">
        <v>224</v>
      </c>
      <c r="C19" s="239" t="s">
        <v>272</v>
      </c>
      <c r="D19" s="24"/>
    </row>
    <row r="20" spans="2:13" ht="13.9" x14ac:dyDescent="0.4">
      <c r="B20" s="238" t="s">
        <v>213</v>
      </c>
      <c r="C20" s="239" t="s">
        <v>272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277533</v>
      </c>
      <c r="D25" s="148">
        <v>271386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55101</v>
      </c>
      <c r="D26" s="149">
        <v>53933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43909</v>
      </c>
      <c r="D27" s="149">
        <v>45277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143329</v>
      </c>
      <c r="D29" s="149">
        <v>127654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284</v>
      </c>
      <c r="D30" s="149">
        <v>233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0.173+0.104</f>
        <v>0.27699999999999997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0.10682333310445148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277533</v>
      </c>
      <c r="D91" s="206"/>
      <c r="E91" s="248">
        <f>C91</f>
        <v>277533</v>
      </c>
      <c r="F91" s="248">
        <f>C91</f>
        <v>277533</v>
      </c>
    </row>
    <row r="92" spans="2:8" ht="13.9" x14ac:dyDescent="0.4">
      <c r="B92" s="104" t="s">
        <v>102</v>
      </c>
      <c r="C92" s="77">
        <f>C26</f>
        <v>55101</v>
      </c>
      <c r="D92" s="158">
        <f>C92/C91</f>
        <v>0.19853855217217412</v>
      </c>
      <c r="E92" s="249">
        <f>E91*D92</f>
        <v>55101</v>
      </c>
      <c r="F92" s="249">
        <f>F91*D92</f>
        <v>55101</v>
      </c>
    </row>
    <row r="93" spans="2:8" ht="13.9" x14ac:dyDescent="0.4">
      <c r="B93" s="104" t="s">
        <v>229</v>
      </c>
      <c r="C93" s="77">
        <f>C27+C28</f>
        <v>43909</v>
      </c>
      <c r="D93" s="158">
        <f>C93/C91</f>
        <v>0.15821181625248168</v>
      </c>
      <c r="E93" s="249">
        <f>E91*D93</f>
        <v>43909</v>
      </c>
      <c r="F93" s="249">
        <f>F91*D93</f>
        <v>43909</v>
      </c>
    </row>
    <row r="94" spans="2:8" ht="13.9" x14ac:dyDescent="0.4">
      <c r="B94" s="104" t="s">
        <v>237</v>
      </c>
      <c r="C94" s="77">
        <f>C29</f>
        <v>143329</v>
      </c>
      <c r="D94" s="158">
        <f>C94/C91</f>
        <v>0.51643948647548221</v>
      </c>
      <c r="E94" s="250"/>
      <c r="F94" s="249">
        <f>F91*D94</f>
        <v>143329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378.66666666666669</v>
      </c>
      <c r="D97" s="158">
        <f>C97/C91</f>
        <v>1.3644023113167324E-3</v>
      </c>
      <c r="E97" s="250"/>
      <c r="F97" s="249">
        <f>F91*D97</f>
        <v>378.66666666666669</v>
      </c>
    </row>
    <row r="98" spans="2:7" ht="13.9" x14ac:dyDescent="0.4">
      <c r="B98" s="86" t="s">
        <v>193</v>
      </c>
      <c r="C98" s="234">
        <f>C44</f>
        <v>0.27699999999999997</v>
      </c>
      <c r="D98" s="263"/>
      <c r="E98" s="251">
        <f>F98</f>
        <v>0.21</v>
      </c>
      <c r="F98" s="251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6818.HK</v>
      </c>
      <c r="D3" s="290"/>
      <c r="E3" s="87"/>
      <c r="F3" s="3" t="s">
        <v>1</v>
      </c>
      <c r="G3" s="131">
        <v>2.77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中国光大银行</v>
      </c>
      <c r="D4" s="292"/>
      <c r="E4" s="87"/>
      <c r="F4" s="3" t="s">
        <v>2</v>
      </c>
      <c r="G4" s="295">
        <f>Inputs!C10</f>
        <v>59085551061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163666.97643897001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0.64188522926402747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0.51643948647548221</v>
      </c>
      <c r="F24" s="139" t="s">
        <v>239</v>
      </c>
      <c r="G24" s="265">
        <f>G3/(Fin_Analysis!H86*G7)</f>
        <v>5.8676353139336292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0.47519160993470294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8.0985198382436147E-2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2.1121657568364047</v>
      </c>
      <c r="D29" s="128">
        <f>G29*(1+G20)</f>
        <v>3.800556266257952</v>
      </c>
      <c r="E29" s="87"/>
      <c r="F29" s="130">
        <f>IF(Fin_Analysis!C108="Profit",Fin_Analysis!F100,IF(Fin_Analysis!C108="Dividend",Fin_Analysis!F103,Fin_Analysis!F106))</f>
        <v>2.4849008903957706</v>
      </c>
      <c r="G29" s="286">
        <f>IF(Fin_Analysis!C108="Profit",Fin_Analysis!I100,IF(Fin_Analysis!C108="Dividend",Fin_Analysis!I103,Fin_Analysis!I106))</f>
        <v>3.3048315358764802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277533</v>
      </c>
      <c r="D6" s="199">
        <f>IF(Inputs!D25="","",Inputs!D25)</f>
        <v>271386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55101</v>
      </c>
      <c r="D8" s="198">
        <f>IF(Inputs!D26="","",Inputs!D26)</f>
        <v>53933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222432</v>
      </c>
      <c r="D9" s="150">
        <f t="shared" si="2"/>
        <v>217453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43909</v>
      </c>
      <c r="D10" s="198">
        <f>IF(Inputs!D27="","",Inputs!D27)</f>
        <v>45277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378.66666666666669</v>
      </c>
      <c r="D12" s="198">
        <f>IF(Inputs!D30="","",MAX(Inputs!D30,0)/(1-Fin_Analysis!$I$84))</f>
        <v>310.66666666666669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0.64188522926402747</v>
      </c>
      <c r="D13" s="226">
        <f t="shared" si="3"/>
        <v>0.63328739630391151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178144.33333333334</v>
      </c>
      <c r="D14" s="227">
        <f t="shared" ref="D14:M14" si="4">IF(D6="","",D9-D10-MAX(D11,0)-MAX(D12,0))</f>
        <v>171865.33333333334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3.6534418420623896E-2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143329</v>
      </c>
      <c r="D17" s="198">
        <f>IF(Inputs!D29="","",Inputs!D29)</f>
        <v>127654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34815.333333333343</v>
      </c>
      <c r="D22" s="160">
        <f t="shared" ref="D22:M22" si="8">IF(D6="","",D14-MAX(D16,0)-MAX(D17,0)-ABS(MAX(D21,0)-MAX(D19,0)))</f>
        <v>44211.333333333343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9.408430709140897E-2</v>
      </c>
      <c r="D23" s="152">
        <f t="shared" si="9"/>
        <v>0.12218205802804864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-0.21252469200959026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0.19853855217217412</v>
      </c>
      <c r="D40" s="155">
        <f t="shared" si="34"/>
        <v>0.19873169581334335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0.15821181625248168</v>
      </c>
      <c r="D41" s="152">
        <f t="shared" si="35"/>
        <v>0.16683616693565623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0.51643948647548221</v>
      </c>
      <c r="D43" s="152">
        <f t="shared" si="37"/>
        <v>0.47037798559984673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1.3644023113167324E-3</v>
      </c>
      <c r="D44" s="152">
        <f t="shared" si="38"/>
        <v>1.1447409470888943E-3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0.12544574278854531</v>
      </c>
      <c r="D46" s="152">
        <f t="shared" si="40"/>
        <v>0.16290941070406484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4.1168354939394511</v>
      </c>
      <c r="D55" s="152">
        <f t="shared" si="47"/>
        <v>2.8873591989987477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277533</v>
      </c>
      <c r="D74" s="206"/>
      <c r="E74" s="235">
        <f>Inputs!E91</f>
        <v>277533</v>
      </c>
      <c r="F74" s="206"/>
      <c r="H74" s="235">
        <f>Inputs!F91</f>
        <v>277533</v>
      </c>
      <c r="I74" s="206"/>
      <c r="K74" s="24"/>
    </row>
    <row r="75" spans="1:11" ht="15" customHeight="1" x14ac:dyDescent="0.4">
      <c r="B75" s="104" t="s">
        <v>102</v>
      </c>
      <c r="C75" s="77">
        <f>Data!C8</f>
        <v>55101</v>
      </c>
      <c r="D75" s="158">
        <f>C75/$C$74</f>
        <v>0.19853855217217412</v>
      </c>
      <c r="E75" s="235">
        <f>Inputs!E92</f>
        <v>55101</v>
      </c>
      <c r="F75" s="159">
        <f>E75/E74</f>
        <v>0.19853855217217412</v>
      </c>
      <c r="H75" s="235">
        <f>Inputs!F92</f>
        <v>55101</v>
      </c>
      <c r="I75" s="159">
        <f>H75/$H$74</f>
        <v>0.19853855217217412</v>
      </c>
      <c r="K75" s="24"/>
    </row>
    <row r="76" spans="1:11" ht="15" customHeight="1" x14ac:dyDescent="0.4">
      <c r="B76" s="35" t="s">
        <v>92</v>
      </c>
      <c r="C76" s="160">
        <f>C74-C75</f>
        <v>222432</v>
      </c>
      <c r="D76" s="207"/>
      <c r="E76" s="161">
        <f>E74-E75</f>
        <v>222432</v>
      </c>
      <c r="F76" s="207"/>
      <c r="H76" s="161">
        <f>H74-H75</f>
        <v>222432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43909</v>
      </c>
      <c r="D77" s="158">
        <f>C77/$C$74</f>
        <v>0.15821181625248168</v>
      </c>
      <c r="E77" s="235">
        <f>Inputs!E93</f>
        <v>43909</v>
      </c>
      <c r="F77" s="159">
        <f>E77/E74</f>
        <v>0.15821181625248168</v>
      </c>
      <c r="H77" s="235">
        <f>Inputs!F93</f>
        <v>43909</v>
      </c>
      <c r="I77" s="159">
        <f>H77/$H$74</f>
        <v>0.15821181625248168</v>
      </c>
      <c r="K77" s="24"/>
    </row>
    <row r="78" spans="1:11" ht="15" customHeight="1" x14ac:dyDescent="0.4">
      <c r="B78" s="73" t="s">
        <v>161</v>
      </c>
      <c r="C78" s="77">
        <f>MAX(Data!C12,0)</f>
        <v>378.66666666666669</v>
      </c>
      <c r="D78" s="158">
        <f>C78/$C$74</f>
        <v>1.3644023113167324E-3</v>
      </c>
      <c r="E78" s="179">
        <f>E74*F78</f>
        <v>378.66666666666669</v>
      </c>
      <c r="F78" s="159">
        <f>I78</f>
        <v>1.3644023113167324E-3</v>
      </c>
      <c r="H78" s="235">
        <f>Inputs!F97</f>
        <v>378.66666666666669</v>
      </c>
      <c r="I78" s="159">
        <f>H78/$H$74</f>
        <v>1.3644023113167324E-3</v>
      </c>
      <c r="K78" s="24"/>
    </row>
    <row r="79" spans="1:11" ht="15" customHeight="1" x14ac:dyDescent="0.4">
      <c r="B79" s="253" t="s">
        <v>217</v>
      </c>
      <c r="C79" s="254">
        <f>C76-C77-C78</f>
        <v>178144.33333333334</v>
      </c>
      <c r="D79" s="255">
        <f>C79/C74</f>
        <v>0.64188522926402747</v>
      </c>
      <c r="E79" s="256">
        <f>E76-E77-E78</f>
        <v>178144.33333333334</v>
      </c>
      <c r="F79" s="255">
        <f>E79/E74</f>
        <v>0.64188522926402747</v>
      </c>
      <c r="G79" s="257"/>
      <c r="H79" s="256">
        <f>H76-H77-H78</f>
        <v>178144.33333333334</v>
      </c>
      <c r="I79" s="255">
        <f>H79/H74</f>
        <v>0.64188522926402747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143329</v>
      </c>
      <c r="D81" s="158">
        <f>C81/$C$74</f>
        <v>0.51643948647548221</v>
      </c>
      <c r="E81" s="179">
        <f>E74*F81</f>
        <v>143329</v>
      </c>
      <c r="F81" s="159">
        <f>I81</f>
        <v>0.51643948647548221</v>
      </c>
      <c r="H81" s="235">
        <f>Inputs!F94</f>
        <v>143329</v>
      </c>
      <c r="I81" s="159">
        <f>H81/$H$74</f>
        <v>0.51643948647548221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34815.333333333343</v>
      </c>
      <c r="D83" s="163">
        <f>C83/$C$74</f>
        <v>0.12544574278854531</v>
      </c>
      <c r="E83" s="164">
        <f>E79-E81-E82-E80</f>
        <v>34815.333333333343</v>
      </c>
      <c r="F83" s="163">
        <f>E83/E74</f>
        <v>0.12544574278854531</v>
      </c>
      <c r="H83" s="164">
        <f>H79-H81-H82-H80</f>
        <v>34815.333333333343</v>
      </c>
      <c r="I83" s="163">
        <f>H83/$H$74</f>
        <v>0.12544574278854531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26111.500000000007</v>
      </c>
      <c r="D85" s="255">
        <f>C85/$C$74</f>
        <v>9.408430709140897E-2</v>
      </c>
      <c r="E85" s="261">
        <f>E83*(1-F84)</f>
        <v>26111.500000000007</v>
      </c>
      <c r="F85" s="255">
        <f>E85/E74</f>
        <v>9.408430709140897E-2</v>
      </c>
      <c r="G85" s="257"/>
      <c r="H85" s="261">
        <f>H83*(1-I84)</f>
        <v>26111.500000000007</v>
      </c>
      <c r="I85" s="255">
        <f>H85/$H$74</f>
        <v>9.408430709140897E-2</v>
      </c>
      <c r="K85" s="24"/>
    </row>
    <row r="86" spans="1:11" ht="15" customHeight="1" x14ac:dyDescent="0.4">
      <c r="B86" s="87" t="s">
        <v>152</v>
      </c>
      <c r="C86" s="166">
        <f>C85*Data!C4/Common_Shares</f>
        <v>0.44192699452091866</v>
      </c>
      <c r="D86" s="206"/>
      <c r="E86" s="167">
        <f>E85*Data!C4/Common_Shares</f>
        <v>0.44192699452091866</v>
      </c>
      <c r="F86" s="206"/>
      <c r="H86" s="167">
        <f>H85*Data!C4/Common_Shares</f>
        <v>0.44192699452091866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0.17042640629443032</v>
      </c>
      <c r="D87" s="206"/>
      <c r="E87" s="259">
        <f>E86*Exchange_Rate/Dashboard!G3</f>
        <v>0.17042640629443032</v>
      </c>
      <c r="F87" s="206"/>
      <c r="H87" s="259">
        <f>H86*Exchange_Rate/Dashboard!G3</f>
        <v>0.17042640629443032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0.27699999999999997</v>
      </c>
      <c r="D88" s="165">
        <f>C88/C86</f>
        <v>0.6268003616757748</v>
      </c>
      <c r="E88" s="169">
        <f>Inputs!E98</f>
        <v>0.21</v>
      </c>
      <c r="F88" s="165">
        <f>E88/E86</f>
        <v>0.47519160993470294</v>
      </c>
      <c r="H88" s="169">
        <f>Inputs!F98</f>
        <v>0.21</v>
      </c>
      <c r="I88" s="165">
        <f>H88/H86</f>
        <v>0.47519160993470294</v>
      </c>
      <c r="K88" s="24"/>
    </row>
    <row r="89" spans="1:11" ht="15" customHeight="1" x14ac:dyDescent="0.4">
      <c r="B89" s="87" t="s">
        <v>206</v>
      </c>
      <c r="C89" s="258">
        <f>C88*Exchange_Rate/Dashboard!G3</f>
        <v>0.10682333310445148</v>
      </c>
      <c r="D89" s="206"/>
      <c r="E89" s="258">
        <f>E88*Exchange_Rate/Dashboard!G3</f>
        <v>8.0985198382436147E-2</v>
      </c>
      <c r="F89" s="206"/>
      <c r="H89" s="258">
        <f>H88*Exchange_Rate/Dashboard!G3</f>
        <v>8.0985198382436147E-2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15.651332942907004</v>
      </c>
      <c r="H93" s="87" t="s">
        <v>195</v>
      </c>
      <c r="I93" s="143">
        <f>FV(H87,D93,0,-(H86/(C93-D94)))*Exchange_Rate</f>
        <v>15.651332942907004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4.9980232661226811</v>
      </c>
      <c r="H94" s="87" t="s">
        <v>196</v>
      </c>
      <c r="I94" s="143">
        <f>FV(H89,D93,0,-(H88/(C93-D94)))*Exchange_Rate</f>
        <v>4.9980232661226811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459772.95207335893</v>
      </c>
      <c r="D97" s="210"/>
      <c r="E97" s="122">
        <f>PV(C94,D93,0,-F93)</f>
        <v>7.7814786156210802</v>
      </c>
      <c r="F97" s="210"/>
      <c r="H97" s="122">
        <f>PV(C94,D93,0,-I93)</f>
        <v>7.7814786156210802</v>
      </c>
      <c r="I97" s="122">
        <f>PV(C93,D93,0,-I93)</f>
        <v>10.349095219068127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459772.95207335893</v>
      </c>
      <c r="D100" s="109">
        <f>MIN(F100*(1-C94),E100)</f>
        <v>6.614256823277918</v>
      </c>
      <c r="E100" s="109">
        <f>MAX(E97+H98+E99,0)</f>
        <v>7.7814786156210802</v>
      </c>
      <c r="F100" s="109">
        <f>(E100+H100)/2</f>
        <v>7.7814786156210802</v>
      </c>
      <c r="H100" s="109">
        <f>MAX(C100*Data!$C$4/Common_Shares,0)</f>
        <v>7.7814786156210802</v>
      </c>
      <c r="I100" s="109">
        <f>MAX(I97+H98+H99,0)</f>
        <v>10.349095219068127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146821.73844100366</v>
      </c>
      <c r="D103" s="109">
        <f>MIN(F103*(1-C94),E103)</f>
        <v>2.1121657568364047</v>
      </c>
      <c r="E103" s="122">
        <f>PV(C94,D93,0,-F94)</f>
        <v>2.4849008903957706</v>
      </c>
      <c r="F103" s="109">
        <f>(E103+H103)/2</f>
        <v>2.4849008903957706</v>
      </c>
      <c r="H103" s="122">
        <f>PV(C94,D93,0,-I94)</f>
        <v>2.4849008903957706</v>
      </c>
      <c r="I103" s="109">
        <f>PV(C93,D93,0,-I94)</f>
        <v>3.3048315358764802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303297.34525718127</v>
      </c>
      <c r="D106" s="109">
        <f>(D100+D103)/2</f>
        <v>4.3632112900571611</v>
      </c>
      <c r="E106" s="122">
        <f>(E100+E103)/2</f>
        <v>5.1331897530084252</v>
      </c>
      <c r="F106" s="109">
        <f>(F100+F103)/2</f>
        <v>5.1331897530084252</v>
      </c>
      <c r="H106" s="122">
        <f>(H100+H103)/2</f>
        <v>5.1331897530084252</v>
      </c>
      <c r="I106" s="122">
        <f>(I100+I103)/2</f>
        <v>6.8269633774723033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