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03CF69F-A45E-4DEB-8B8A-3697DE05CDB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1" i="4"/>
  <c r="F96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D43" i="4"/>
  <c r="D40" i="4"/>
  <c r="D39" i="4"/>
  <c r="D35" i="4"/>
  <c r="E27" i="4"/>
  <c r="D27" i="4"/>
  <c r="C27" i="4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3" i="4" l="1"/>
  <c r="F94" i="4"/>
  <c r="E95" i="4"/>
  <c r="E92" i="4"/>
  <c r="F97" i="4"/>
  <c r="F92" i="4"/>
  <c r="D53" i="4"/>
  <c r="D27" i="2"/>
  <c r="D37" i="2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<sst xmlns="http://schemas.openxmlformats.org/spreadsheetml/2006/main" count="392" uniqueCount="275">
  <si>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</si>
  <si>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</si>
  <si>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</si>
  <si>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</si>
  <si>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</si>
  <si>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</si>
  <si>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</si>
  <si>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</si>
  <si>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</si>
  <si>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</si>
  <si>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</si>
  <si>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</si>
  <si>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</si>
  <si>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</si>
  <si>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</si>
  <si>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</si>
  <si>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</si>
  <si>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</si>
  <si>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</si>
  <si>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</si>
  <si>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</si>
  <si>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</si>
  <si>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</si>
  <si>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</si>
  <si>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</si>
  <si>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</si>
  <si>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</si>
  <si>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</si>
  <si>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</si>
  <si>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</si>
  <si>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</si>
  <si>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</si>
  <si>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</si>
  <si>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</si>
  <si>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</si>
  <si>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</si>
  <si>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</si>
  <si>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</si>
  <si>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</si>
  <si>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</si>
  <si>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</si>
  <si>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</si>
  <si>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</si>
  <si>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</si>
  <si>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</si>
  <si>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</si>
  <si>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</si>
  <si>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</si>
  <si>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</si>
  <si>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</si>
  <si>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</si>
  <si>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</si>
  <si>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</si>
  <si>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</si>
  <si>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</si>
  <si>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</si>
  <si>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</si>
  <si>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</si>
  <si>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</si>
  <si>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</si>
  <si>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</si>
  <si>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</si>
  <si>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</si>
  <si>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</si>
  <si>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</si>
  <si>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</si>
  <si>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</si>
  <si>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</si>
  <si>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</si>
  <si>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</si>
  <si>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</si>
  <si>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</si>
  <si>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</si>
  <si>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</si>
  <si>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</si>
  <si>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</si>
  <si>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</si>
  <si>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</si>
  <si>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</si>
  <si>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</si>
  <si>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</si>
  <si>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</si>
  <si>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</si>
  <si>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</si>
  <si>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</si>
  <si>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</si>
  <si>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</si>
  <si>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</si>
  <si>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</si>
  <si>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</si>
  <si>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</si>
  <si>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</si>
  <si>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</si>
  <si>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</si>
  <si>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</si>
  <si>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</si>
  <si>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</si>
  <si>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</si>
  <si>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</si>
  <si>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</si>
  <si>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</si>
  <si>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</si>
  <si>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</si>
  <si>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</si>
  <si>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</si>
  <si>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</si>
  <si>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</si>
  <si>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</si>
  <si>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</si>
  <si>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</si>
  <si>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</si>
  <si>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</si>
  <si>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</si>
  <si>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</si>
  <si>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</si>
  <si>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</si>
  <si>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</si>
  <si>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</si>
  <si>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</si>
  <si>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</si>
  <si>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</si>
  <si>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</si>
  <si>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</si>
  <si>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</si>
  <si>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</si>
  <si>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</si>
  <si>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</si>
  <si>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</si>
  <si>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</si>
  <si>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</si>
  <si>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</si>
  <si>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</si>
  <si>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</si>
  <si>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</si>
  <si>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</si>
  <si>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</si>
  <si>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</si>
  <si>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</si>
  <si>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</si>
  <si>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</si>
  <si>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</si>
  <si>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</si>
  <si>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</si>
  <si>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</si>
  <si>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</si>
  <si>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</si>
  <si>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</si>
  <si>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</si>
  <si>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</si>
  <si>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</si>
  <si>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</si>
  <si>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</si>
  <si>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</si>
  <si>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</si>
  <si>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</si>
  <si>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</si>
  <si>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</si>
  <si>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</si>
  <si>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</si>
  <si>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</si>
  <si>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</si>
  <si>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</si>
  <si>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</si>
  <si>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</si>
  <si>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</si>
  <si>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</si>
  <si>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</si>
  <si>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</si>
  <si>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</si>
  <si>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</si>
  <si>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</si>
  <si>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</si>
  <si>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</si>
  <si>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</si>
  <si>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</si>
  <si>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</si>
  <si>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</si>
  <si>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</si>
  <si>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</si>
  <si>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</si>
  <si>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</si>
  <si>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</si>
  <si>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</si>
  <si>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</si>
  <si>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</si>
  <si>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</si>
  <si>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</si>
  <si>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</si>
  <si>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</si>
  <si>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</si>
  <si>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</si>
  <si>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</si>
  <si>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</si>
  <si>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</si>
  <si>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</si>
  <si>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</si>
  <si>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</si>
  <si>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</si>
  <si>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</si>
  <si>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</si>
  <si>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</si>
  <si>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</si>
  <si>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</si>
  <si>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</si>
  <si>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</si>
  <si>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</si>
  <si>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</si>
  <si>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</si>
  <si>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</si>
  <si>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</si>
  <si>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</si>
  <si>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</si>
  <si>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</si>
  <si>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</si>
  <si>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</si>
  <si>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</si>
  <si>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</si>
  <si>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</si>
  <si>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</si>
  <si>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</si>
  <si>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</si>
  <si>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</si>
  <si>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</si>
  <si>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</si>
  <si>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</si>
  <si>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</si>
  <si>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</si>
  <si>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</si>
  <si>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</si>
  <si>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</si>
  <si>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</si>
  <si>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</si>
  <si>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</si>
  <si>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</si>
  <si>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</si>
  <si>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</si>
  <si>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</si>
  <si>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</si>
  <si>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</si>
  <si>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</si>
  <si>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</si>
  <si>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</si>
  <si>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</si>
  <si>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</si>
  <si>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</si>
  <si>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</si>
  <si>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</si>
  <si>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</si>
  <si>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</si>
  <si>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</si>
  <si>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</si>
  <si>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</si>
  <si>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</si>
  <si>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</si>
  <si>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</si>
  <si>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</si>
  <si>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</si>
  <si>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</si>
  <si>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</si>
  <si>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</si>
  <si>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</si>
  <si>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</si>
  <si>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</si>
  <si>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</si>
  <si>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</si>
  <si>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</si>
  <si>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</si>
  <si>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</si>
  <si>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</si>
  <si>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9988.HK</t>
  </si>
  <si>
    <t>阿里巴巴</t>
  </si>
  <si>
    <t xml:space="preserve">Superior Cycl. </t>
  </si>
  <si>
    <t>C0009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</si>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</sst>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45624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19118002388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45382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45565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8">
        <v>941168</v>
      </c>
      <c r="D25" s="148">
        <v>868687</v>
      </c>
      <c r="E25" s="148">
        <v>853062</v>
      </c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586323</v>
      </c>
      <c r="D26" s="149">
        <v>549695</v>
      </c>
      <c r="E26" s="149">
        <v>539450</v>
      </c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115141+41985</f>
        <v>157126</v>
      </c>
      <c r="D27" s="149">
        <f>103496+42183</f>
        <v>145679</v>
      </c>
      <c r="E27" s="149">
        <f>119799+31922</f>
        <v>151721</v>
      </c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52256</v>
      </c>
      <c r="D28" s="149">
        <v>56744</v>
      </c>
      <c r="E28" s="149">
        <v>55465</v>
      </c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7947</v>
      </c>
      <c r="D29" s="149">
        <v>5918</v>
      </c>
      <c r="E29" s="149">
        <v>4909</v>
      </c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268</v>
      </c>
      <c r="D30" s="149">
        <v>274</v>
      </c>
      <c r="E30" s="149">
        <v>290</v>
      </c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>
        <v>22554271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>
        <f>431184</f>
        <v>431184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>
        <v>2258059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>
        <v>7382230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>
        <v>2478102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f>504914+87402</f>
        <v>592316</v>
      </c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f>872836+171260</f>
        <v>1044096</v>
      </c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>
        <v>26334346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>
        <v>1389487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f>211741+3338+99866+1800+540000+8670910+10440941</f>
        <v>19968596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0.125*7.2</f>
        <v>0.9</v>
      </c>
      <c r="D44" s="247">
        <f>0.125*7.2</f>
        <v>0.9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1.158325298722968E-2</v>
      </c>
      <c r="D45" s="151">
        <f>IF(D44="","",D44*Exchange_Rate/Dashboard!$G$3)</f>
        <v>1.158325298722968E-2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45382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941168</v>
      </c>
      <c r="D91" s="206"/>
      <c r="E91" s="248">
        <f>C91</f>
        <v>941168</v>
      </c>
      <c r="F91" s="248">
        <f>C91</f>
        <v>941168</v>
      </c>
    </row>
    <row r="92" spans="2:8" ht="13.9" x14ac:dyDescent="0.4">
      <c r="B92" s="104" t="s">
        <v>102</v>
      </c>
      <c r="C92" s="77">
        <f>C26</f>
        <v>586323</v>
      </c>
      <c r="D92" s="158">
        <f>C92/C91</f>
        <v>0.62297379426414834</v>
      </c>
      <c r="E92" s="249">
        <f>E91*D92</f>
        <v>586323</v>
      </c>
      <c r="F92" s="249">
        <f>F91*D92</f>
        <v>586323</v>
      </c>
    </row>
    <row r="93" spans="2:8" ht="13.9" x14ac:dyDescent="0.4">
      <c r="B93" s="104" t="s">
        <v>230</v>
      </c>
      <c r="C93" s="77">
        <f>C27+C28</f>
        <v>209382</v>
      </c>
      <c r="D93" s="158">
        <f>C93/C91</f>
        <v>0.22247037723339511</v>
      </c>
      <c r="E93" s="249">
        <f>E91*D93</f>
        <v>209382</v>
      </c>
      <c r="F93" s="249">
        <f>F91*D93</f>
        <v>209382</v>
      </c>
    </row>
    <row r="94" spans="2:8" ht="13.9" x14ac:dyDescent="0.4">
      <c r="B94" s="104" t="s">
        <v>239</v>
      </c>
      <c r="C94" s="77">
        <f>C29</f>
        <v>7947</v>
      </c>
      <c r="D94" s="158">
        <f>C94/C91</f>
        <v>8.4437634938714454E-3</v>
      </c>
      <c r="E94" s="250"/>
      <c r="F94" s="249">
        <f>F91*D94</f>
        <v>7947.0000000000009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357.33333333333331</v>
      </c>
      <c r="D97" s="158">
        <f>C97/C91</f>
        <v>3.796700836974199E-4</v>
      </c>
      <c r="E97" s="250"/>
      <c r="F97" s="249">
        <f>F91*D97</f>
        <v>357.33333333333331</v>
      </c>
    </row>
    <row r="98" spans="2:7" ht="13.9" x14ac:dyDescent="0.4">
      <c r="B98" s="86" t="s">
        <v>193</v>
      </c>
      <c r="C98" s="234">
        <f>C44</f>
        <v>0.9</v>
      </c>
      <c r="D98" s="263"/>
      <c r="E98" s="251">
        <f>F98</f>
        <v>0.9</v>
      </c>
      <c r="F98" s="251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9988.HK</v>
      </c>
      <c r="D3" s="290"/>
      <c r="E3" s="87"/>
      <c r="F3" s="3" t="s">
        <v>1</v>
      </c>
      <c r="G3" s="131">
        <v>83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阿里巴巴</v>
      </c>
      <c r="D4" s="292"/>
      <c r="E4" s="87"/>
      <c r="F4" s="3" t="s">
        <v>2</v>
      </c>
      <c r="G4" s="295">
        <f>Inputs!C10</f>
        <v>19118002388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1586794.198204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C0009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0.15417615841875909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8.4437634938714454E-3</v>
      </c>
      <c r="F24" s="139" t="s">
        <v>242</v>
      </c>
      <c r="G24" s="265">
        <f>G3/(Fin_Analysis!H86*G7)</f>
        <v>14440.09203156404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167.26323916048565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1.158325298722968E-2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3.6677721234867081E-2</v>
      </c>
      <c r="D29" s="128">
        <f>G29*(1+G20)</f>
        <v>6.5996592748489083E-2</v>
      </c>
      <c r="E29" s="87"/>
      <c r="F29" s="130">
        <f>IF(Fin_Analysis!C108="Profit",Fin_Analysis!F100,IF(Fin_Analysis!C108="Dividend",Fin_Analysis!F103,Fin_Analysis!F106))</f>
        <v>4.315026027631421E-2</v>
      </c>
      <c r="G29" s="286">
        <f>IF(Fin_Analysis!C108="Profit",Fin_Analysis!I100,IF(Fin_Analysis!C108="Dividend",Fin_Analysis!I103,Fin_Analysis!I106))</f>
        <v>5.7388341520425296E-2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45382</v>
      </c>
      <c r="E3" s="145" t="s">
        <v>186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199">
        <f>IF(Inputs!C25=""," ",Inputs!C25)</f>
        <v>941168</v>
      </c>
      <c r="D6" s="199">
        <f>IF(Inputs!D25="","",Inputs!D25)</f>
        <v>868687</v>
      </c>
      <c r="E6" s="199">
        <f>IF(Inputs!E25="","",Inputs!E25)</f>
        <v>853062</v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586323</v>
      </c>
      <c r="D8" s="198">
        <f>IF(Inputs!D26="","",Inputs!D26)</f>
        <v>549695</v>
      </c>
      <c r="E8" s="198">
        <f>IF(Inputs!E26="","",Inputs!E26)</f>
        <v>539450</v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354845</v>
      </c>
      <c r="D9" s="150">
        <f t="shared" si="2"/>
        <v>318992</v>
      </c>
      <c r="E9" s="150">
        <f t="shared" si="2"/>
        <v>313612</v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157126</v>
      </c>
      <c r="D10" s="198">
        <f>IF(Inputs!D27="","",Inputs!D27)</f>
        <v>145679</v>
      </c>
      <c r="E10" s="198">
        <f>IF(Inputs!E27="","",Inputs!E27)</f>
        <v>151721</v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52256</v>
      </c>
      <c r="D11" s="198">
        <f>IF(Inputs!D28="","",Inputs!D28)</f>
        <v>56744</v>
      </c>
      <c r="E11" s="198">
        <f>IF(Inputs!E28="","",Inputs!E28)</f>
        <v>55465</v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357.33333333333331</v>
      </c>
      <c r="D12" s="198">
        <f>IF(Inputs!D30="","",MAX(Inputs!D30,0)/(1-Fin_Analysis!$I$84))</f>
        <v>365.33333333333331</v>
      </c>
      <c r="E12" s="198">
        <f>IF(Inputs!E30="","",MAX(Inputs!E30,0)/(1-Fin_Analysis!$I$84))</f>
        <v>386.66666666666669</v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0.15417615841875909</v>
      </c>
      <c r="D13" s="226">
        <f t="shared" si="3"/>
        <v>0.13376931698835906</v>
      </c>
      <c r="E13" s="226">
        <f t="shared" si="3"/>
        <v>0.12430436865472068</v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145105.66666666666</v>
      </c>
      <c r="D14" s="227">
        <f t="shared" ref="D14:M14" si="4">IF(D6="","",D9-D10-MAX(D11,0)-MAX(D12,0))</f>
        <v>116203.66666666667</v>
      </c>
      <c r="E14" s="227">
        <f t="shared" si="4"/>
        <v>106039.33333333333</v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0.24871848564732596</v>
      </c>
      <c r="D15" s="229">
        <f t="shared" ref="D15:M15" si="5">IF(E14="","",IF(ABS(D14+E14)=ABS(D14)+ABS(E14),IF(D14&lt;0,-1,1)*(D14-E14)/E14,"Turn"))</f>
        <v>9.5854368504768764E-2</v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7947</v>
      </c>
      <c r="D17" s="198">
        <f>IF(Inputs!D29="","",Inputs!D29)</f>
        <v>5918</v>
      </c>
      <c r="E17" s="198">
        <f>IF(Inputs!E29="","",Inputs!E29)</f>
        <v>4909</v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137158.66666666666</v>
      </c>
      <c r="D22" s="160">
        <f t="shared" ref="D22:M22" si="8">IF(D6="","",D14-MAX(D16,0)-MAX(D17,0)-ABS(MAX(D21,0)-MAX(D19,0)))</f>
        <v>110285.66666666667</v>
      </c>
      <c r="E22" s="160">
        <f t="shared" si="8"/>
        <v>101130.33333333333</v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0.10929929619366574</v>
      </c>
      <c r="D23" s="152">
        <f t="shared" si="9"/>
        <v>9.5217552467114164E-2</v>
      </c>
      <c r="E23" s="152">
        <f t="shared" si="9"/>
        <v>8.8912353381114154E-2</v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0.24366720365596012</v>
      </c>
      <c r="D25" s="230">
        <f t="shared" ref="D25:M25" si="10">IF(E24="","",IF(ABS(D24+E24)=ABS(D24)+ABS(E24),IF(D24&lt;0,-1,1)*(D24-E24)/E24,"Turn"))</f>
        <v>9.0530042090899196E-2</v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>
        <f>IF(Inputs!D35="","",Inputs!D35)</f>
        <v>431184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>
        <f>IF(Inputs!D36="","",Inputs!D36)</f>
        <v>2258059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>
        <f>IF(Inputs!D37="","",Inputs!D37)</f>
        <v>7382230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>
        <f>IF(Inputs!D39="","",Inputs!D39)</f>
        <v>592316</v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>
        <f>IF(Inputs!D40="","",Inputs!D40)</f>
        <v>1044096</v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>
        <f>IF(Inputs!D41="","",Inputs!D41)</f>
        <v>26334346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>
        <f>IF(Inputs!D42="","",Inputs!D42)</f>
        <v>1389487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19968596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>
        <f>IF(D6="","",D14/MAX(D37,0))</f>
        <v>8.4524174945458663E-3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0.62297379426414834</v>
      </c>
      <c r="D40" s="155">
        <f t="shared" si="34"/>
        <v>0.63278833457850758</v>
      </c>
      <c r="E40" s="155">
        <f t="shared" si="34"/>
        <v>0.63236904234393276</v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0.22247037723339511</v>
      </c>
      <c r="D41" s="152">
        <f t="shared" si="35"/>
        <v>0.23302179035717122</v>
      </c>
      <c r="E41" s="152">
        <f t="shared" si="35"/>
        <v>0.24287331987592931</v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8.4437634938714454E-3</v>
      </c>
      <c r="D43" s="152">
        <f t="shared" si="37"/>
        <v>6.8125803655401775E-3</v>
      </c>
      <c r="E43" s="152">
        <f t="shared" si="37"/>
        <v>5.7545641465684789E-3</v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3.796700836974199E-4</v>
      </c>
      <c r="D44" s="152">
        <f t="shared" si="38"/>
        <v>4.205580759621513E-4</v>
      </c>
      <c r="E44" s="152">
        <f t="shared" si="38"/>
        <v>4.5326912541722252E-4</v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0.14573239492488765</v>
      </c>
      <c r="D46" s="152">
        <f t="shared" si="40"/>
        <v>0.12695673662281889</v>
      </c>
      <c r="E46" s="152">
        <f t="shared" si="40"/>
        <v>0.1185498045081522</v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>
        <f t="shared" si="41"/>
        <v>2.5764389598754038E-2</v>
      </c>
      <c r="E48" s="269" t="e">
        <f t="shared" si="41"/>
        <v>#VALUE!</v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>
        <f t="shared" si="42"/>
        <v>0.49636290171258463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>
        <f t="shared" si="43"/>
        <v>2.5993931070684839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>
        <f t="shared" si="45"/>
        <v>0.73983962665722636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>
        <f t="shared" si="46"/>
        <v>6.7394804405410541E-2</v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5.7940195782986134E-2</v>
      </c>
      <c r="D55" s="152">
        <f t="shared" si="47"/>
        <v>5.3660644931193838E-2</v>
      </c>
      <c r="E55" s="152">
        <f t="shared" si="47"/>
        <v>4.8541321265297921E-2</v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>Error</v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>
        <f t="shared" si="49"/>
        <v>4.6584214673920056E-3</v>
      </c>
      <c r="E58" s="271" t="e">
        <f t="shared" si="49"/>
        <v>#VALUE!</v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>
        <f t="shared" si="50"/>
        <v>4.4211781941387871E-3</v>
      </c>
      <c r="E59" s="271" t="e">
        <f t="shared" si="50"/>
        <v>#VALUE!</v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45565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45382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941168</v>
      </c>
      <c r="D74" s="206"/>
      <c r="E74" s="235">
        <f>Inputs!E91</f>
        <v>941168</v>
      </c>
      <c r="F74" s="206"/>
      <c r="H74" s="235">
        <f>Inputs!F91</f>
        <v>941168</v>
      </c>
      <c r="I74" s="206"/>
      <c r="K74" s="24"/>
    </row>
    <row r="75" spans="1:11" ht="15" customHeight="1" x14ac:dyDescent="0.4">
      <c r="B75" s="104" t="s">
        <v>102</v>
      </c>
      <c r="C75" s="77">
        <f>Data!C8</f>
        <v>586323</v>
      </c>
      <c r="D75" s="158">
        <f>C75/$C$74</f>
        <v>0.62297379426414834</v>
      </c>
      <c r="E75" s="235">
        <f>Inputs!E92</f>
        <v>586323</v>
      </c>
      <c r="F75" s="159">
        <f>E75/E74</f>
        <v>0.62297379426414834</v>
      </c>
      <c r="H75" s="235">
        <f>Inputs!F92</f>
        <v>586323</v>
      </c>
      <c r="I75" s="159">
        <f>H75/$H$74</f>
        <v>0.62297379426414834</v>
      </c>
      <c r="K75" s="24"/>
    </row>
    <row r="76" spans="1:11" ht="15" customHeight="1" x14ac:dyDescent="0.4">
      <c r="B76" s="35" t="s">
        <v>92</v>
      </c>
      <c r="C76" s="160">
        <f>C74-C75</f>
        <v>354845</v>
      </c>
      <c r="D76" s="207"/>
      <c r="E76" s="161">
        <f>E74-E75</f>
        <v>354845</v>
      </c>
      <c r="F76" s="207"/>
      <c r="H76" s="161">
        <f>H74-H75</f>
        <v>354845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209382</v>
      </c>
      <c r="D77" s="158">
        <f>C77/$C$74</f>
        <v>0.22247037723339511</v>
      </c>
      <c r="E77" s="235">
        <f>Inputs!E93</f>
        <v>209382</v>
      </c>
      <c r="F77" s="159">
        <f>E77/E74</f>
        <v>0.22247037723339511</v>
      </c>
      <c r="H77" s="235">
        <f>Inputs!F93</f>
        <v>209382</v>
      </c>
      <c r="I77" s="159">
        <f>H77/$H$74</f>
        <v>0.22247037723339511</v>
      </c>
      <c r="K77" s="24"/>
    </row>
    <row r="78" spans="1:11" ht="15" customHeight="1" x14ac:dyDescent="0.4">
      <c r="B78" s="73" t="s">
        <v>161</v>
      </c>
      <c r="C78" s="77">
        <f>MAX(Data!C12,0)</f>
        <v>357.33333333333331</v>
      </c>
      <c r="D78" s="158">
        <f>C78/$C$74</f>
        <v>3.796700836974199E-4</v>
      </c>
      <c r="E78" s="179">
        <f>E74*F78</f>
        <v>357.33333333333331</v>
      </c>
      <c r="F78" s="159">
        <f>I78</f>
        <v>3.796700836974199E-4</v>
      </c>
      <c r="H78" s="235">
        <f>Inputs!F97</f>
        <v>357.33333333333331</v>
      </c>
      <c r="I78" s="159">
        <f>H78/$H$74</f>
        <v>3.796700836974199E-4</v>
      </c>
      <c r="K78" s="24"/>
    </row>
    <row r="79" spans="1:11" ht="15" customHeight="1" x14ac:dyDescent="0.4">
      <c r="B79" s="253" t="s">
        <v>217</v>
      </c>
      <c r="C79" s="254">
        <f>C76-C77-C78</f>
        <v>145105.66666666666</v>
      </c>
      <c r="D79" s="255">
        <f>C79/C74</f>
        <v>0.15417615841875909</v>
      </c>
      <c r="E79" s="256">
        <f>E76-E77-E78</f>
        <v>145105.66666666666</v>
      </c>
      <c r="F79" s="255">
        <f>E79/E74</f>
        <v>0.15417615841875909</v>
      </c>
      <c r="G79" s="257"/>
      <c r="H79" s="256">
        <f>H76-H77-H78</f>
        <v>145105.66666666666</v>
      </c>
      <c r="I79" s="255">
        <f>H79/H74</f>
        <v>0.15417615841875909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7947</v>
      </c>
      <c r="D81" s="158">
        <f>C81/$C$74</f>
        <v>8.4437634938714454E-3</v>
      </c>
      <c r="E81" s="179">
        <f>E74*F81</f>
        <v>7947.0000000000009</v>
      </c>
      <c r="F81" s="159">
        <f>I81</f>
        <v>8.4437634938714454E-3</v>
      </c>
      <c r="H81" s="235">
        <f>Inputs!F94</f>
        <v>7947.0000000000009</v>
      </c>
      <c r="I81" s="159">
        <f>H81/$H$74</f>
        <v>8.4437634938714454E-3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137158.66666666666</v>
      </c>
      <c r="D83" s="163">
        <f>C83/$C$74</f>
        <v>0.14573239492488765</v>
      </c>
      <c r="E83" s="164">
        <f>E79-E81-E82-E80</f>
        <v>137158.66666666666</v>
      </c>
      <c r="F83" s="163">
        <f>E83/E74</f>
        <v>0.14573239492488765</v>
      </c>
      <c r="H83" s="164">
        <f>H79-H81-H82-H80</f>
        <v>137158.66666666666</v>
      </c>
      <c r="I83" s="163">
        <f>H83/$H$74</f>
        <v>0.14573239492488765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102869</v>
      </c>
      <c r="D85" s="255">
        <f>C85/$C$74</f>
        <v>0.10929929619366574</v>
      </c>
      <c r="E85" s="261">
        <f>E83*(1-F84)</f>
        <v>102869</v>
      </c>
      <c r="F85" s="255">
        <f>E85/E74</f>
        <v>0.10929929619366574</v>
      </c>
      <c r="G85" s="257"/>
      <c r="H85" s="261">
        <f>H83*(1-I84)</f>
        <v>102869</v>
      </c>
      <c r="I85" s="255">
        <f>H85/$H$74</f>
        <v>0.10929929619366574</v>
      </c>
      <c r="K85" s="24"/>
    </row>
    <row r="86" spans="1:11" ht="15" customHeight="1" x14ac:dyDescent="0.4">
      <c r="B86" s="87" t="s">
        <v>152</v>
      </c>
      <c r="C86" s="166">
        <f>C85*Data!C4/Common_Shares</f>
        <v>5.3807399911493308E-3</v>
      </c>
      <c r="D86" s="206"/>
      <c r="E86" s="167">
        <f>E85*Data!C4/Common_Shares</f>
        <v>5.3807399911493308E-3</v>
      </c>
      <c r="F86" s="206"/>
      <c r="H86" s="167">
        <f>H85*Data!C4/Common_Shares</f>
        <v>5.3807399911493308E-3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6.9251636195540766E-5</v>
      </c>
      <c r="D87" s="206"/>
      <c r="E87" s="259">
        <f>E86*Exchange_Rate/Dashboard!G3</f>
        <v>6.9251636195540766E-5</v>
      </c>
      <c r="F87" s="206"/>
      <c r="H87" s="259">
        <f>H86*Exchange_Rate/Dashboard!G3</f>
        <v>6.9251636195540766E-5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0.9</v>
      </c>
      <c r="D88" s="165">
        <f>C88/C86</f>
        <v>167.26323916048565</v>
      </c>
      <c r="E88" s="169">
        <f>Inputs!E98</f>
        <v>0.9</v>
      </c>
      <c r="F88" s="165">
        <f>E88/E86</f>
        <v>167.26323916048565</v>
      </c>
      <c r="H88" s="169">
        <f>Inputs!F98</f>
        <v>0.9</v>
      </c>
      <c r="I88" s="165">
        <f>H88/H86</f>
        <v>167.26323916048565</v>
      </c>
      <c r="K88" s="24"/>
    </row>
    <row r="89" spans="1:11" ht="15" customHeight="1" x14ac:dyDescent="0.4">
      <c r="B89" s="87" t="s">
        <v>206</v>
      </c>
      <c r="C89" s="258">
        <f>C88*Exchange_Rate/Dashboard!G3</f>
        <v>1.158325298722968E-2</v>
      </c>
      <c r="D89" s="206"/>
      <c r="E89" s="258">
        <f>E88*Exchange_Rate/Dashboard!G3</f>
        <v>1.158325298722968E-2</v>
      </c>
      <c r="F89" s="206"/>
      <c r="H89" s="258">
        <f>H88*Exchange_Rate/Dashboard!G3</f>
        <v>1.158325298722968E-2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8.6790586149260301E-2</v>
      </c>
      <c r="H93" s="87" t="s">
        <v>195</v>
      </c>
      <c r="I93" s="143">
        <f>FV(H87,D93,0,-(H86/(C93-D94)))*Exchange_Rate</f>
        <v>8.6790586149260301E-2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15.372018764610676</v>
      </c>
      <c r="H94" s="87" t="s">
        <v>196</v>
      </c>
      <c r="I94" s="143">
        <f>FV(H89,D93,0,-(H88/(C93-D94)))*Exchange_Rate</f>
        <v>15.372018764610676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824946.77900539665</v>
      </c>
      <c r="D97" s="210"/>
      <c r="E97" s="122">
        <f>PV(C94,D93,0,-F93)</f>
        <v>4.315026027631421E-2</v>
      </c>
      <c r="F97" s="210"/>
      <c r="H97" s="122">
        <f>PV(C94,D93,0,-I93)</f>
        <v>4.315026027631421E-2</v>
      </c>
      <c r="I97" s="122">
        <f>PV(C93,D93,0,-I93)</f>
        <v>5.7388341520425296E-2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824946.77900539665</v>
      </c>
      <c r="D100" s="109">
        <f>MIN(F100*(1-C94),E100)</f>
        <v>3.6677721234867081E-2</v>
      </c>
      <c r="E100" s="109">
        <f>MAX(E97+H98+E99,0)</f>
        <v>4.315026027631421E-2</v>
      </c>
      <c r="F100" s="109">
        <f>(E100+H100)/2</f>
        <v>4.315026027631421E-2</v>
      </c>
      <c r="H100" s="109">
        <f>MAX(C100*Data!$C$4/Common_Shares,0)</f>
        <v>4.315026027631421E-2</v>
      </c>
      <c r="I100" s="109">
        <f>MAX(I97+H98+H99,0)</f>
        <v>5.7388341520425296E-2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146111438.22519478</v>
      </c>
      <c r="D103" s="109">
        <f>MIN(F103*(1-C94),E103)</f>
        <v>6.4962185886832087</v>
      </c>
      <c r="E103" s="122">
        <f>PV(C94,D93,0,-F94)</f>
        <v>7.6426101043331869</v>
      </c>
      <c r="F103" s="109">
        <f>(E103+H103)/2</f>
        <v>7.6426101043331869</v>
      </c>
      <c r="H103" s="122">
        <f>PV(C94,D93,0,-I94)</f>
        <v>7.6426101043331869</v>
      </c>
      <c r="I103" s="109">
        <f>PV(C93,D93,0,-I94)</f>
        <v>10.164404941392162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73468192.502100095</v>
      </c>
      <c r="D106" s="109">
        <f>(D100+D103)/2</f>
        <v>3.2664481549590381</v>
      </c>
      <c r="E106" s="122">
        <f>(E100+E103)/2</f>
        <v>3.8428801823047505</v>
      </c>
      <c r="F106" s="109">
        <f>(F100+F103)/2</f>
        <v>3.8428801823047505</v>
      </c>
      <c r="H106" s="122">
        <f>(H100+H103)/2</f>
        <v>3.8428801823047505</v>
      </c>
      <c r="I106" s="122">
        <f>(I100+I103)/2</f>
        <v>5.1108966414562937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