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opportunities/"/>
    </mc:Choice>
  </mc:AlternateContent>
  <xr:revisionPtr revIDLastSave="0" documentId="13_ncr:1_{77E48979-ED1E-3546-B1D5-3A3127FBC418}" xr6:coauthVersionLast="47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B93" i="3" l="1"/>
  <c r="C94" i="3"/>
  <c r="H96" i="3"/>
  <c r="G28" i="1" s="1"/>
  <c r="F96" i="3"/>
  <c r="F28" i="1" s="1"/>
  <c r="F84" i="3"/>
  <c r="F102" i="3" l="1"/>
  <c r="H102" i="3"/>
  <c r="I11" i="3"/>
  <c r="C93" i="3"/>
  <c r="E7" i="2"/>
  <c r="E9" i="2"/>
  <c r="E19" i="2" s="1"/>
  <c r="E11" i="2"/>
  <c r="I19" i="2"/>
  <c r="H20" i="2" s="1"/>
  <c r="J19" i="2"/>
  <c r="I20" i="2" s="1"/>
  <c r="K19" i="2"/>
  <c r="J20" i="2" s="1"/>
  <c r="L19" i="2"/>
  <c r="K20" i="2" s="1"/>
  <c r="M19" i="2"/>
  <c r="L20" i="2" s="1"/>
  <c r="M20" i="2"/>
  <c r="C88" i="3" l="1"/>
  <c r="C89" i="3" s="1"/>
  <c r="H88" i="3" l="1"/>
  <c r="E88" i="3" l="1"/>
  <c r="H89" i="3"/>
  <c r="I94" i="3" s="1"/>
  <c r="H103" i="3" s="1"/>
  <c r="G26" i="1"/>
  <c r="D47" i="2"/>
  <c r="C82" i="3"/>
  <c r="E44" i="2"/>
  <c r="C96" i="3"/>
  <c r="C102" i="3" s="1"/>
  <c r="C105" i="3" s="1"/>
  <c r="B96" i="3"/>
  <c r="C81" i="3"/>
  <c r="C80" i="3"/>
  <c r="E47" i="2"/>
  <c r="F47" i="2"/>
  <c r="G47" i="2"/>
  <c r="H47" i="2"/>
  <c r="I47" i="2"/>
  <c r="J47" i="2"/>
  <c r="K47" i="2"/>
  <c r="L47" i="2"/>
  <c r="M47" i="2"/>
  <c r="K21" i="2"/>
  <c r="L21" i="2"/>
  <c r="M21" i="2"/>
  <c r="G33" i="3"/>
  <c r="C45" i="2"/>
  <c r="K40" i="2"/>
  <c r="L40" i="2"/>
  <c r="M40" i="2"/>
  <c r="C29" i="2"/>
  <c r="C50" i="2" s="1"/>
  <c r="D44" i="2"/>
  <c r="F44" i="2"/>
  <c r="G44" i="2"/>
  <c r="H44" i="2"/>
  <c r="I44" i="2"/>
  <c r="J44" i="2"/>
  <c r="K44" i="2"/>
  <c r="L44" i="2"/>
  <c r="M44" i="2"/>
  <c r="D45" i="2"/>
  <c r="E45" i="2"/>
  <c r="F45" i="2"/>
  <c r="G45" i="2"/>
  <c r="H45" i="2"/>
  <c r="I45" i="2"/>
  <c r="J45" i="2"/>
  <c r="K45" i="2"/>
  <c r="L45" i="2"/>
  <c r="M45" i="2"/>
  <c r="C44" i="2"/>
  <c r="D50" i="2"/>
  <c r="I34" i="3"/>
  <c r="I53" i="2"/>
  <c r="J53" i="2"/>
  <c r="K53" i="2"/>
  <c r="L53" i="2"/>
  <c r="M53" i="2"/>
  <c r="E50" i="2"/>
  <c r="F50" i="2"/>
  <c r="G50" i="2"/>
  <c r="H50" i="2"/>
  <c r="I50" i="2"/>
  <c r="J50" i="2"/>
  <c r="K50" i="2"/>
  <c r="L50" i="2"/>
  <c r="M50" i="2"/>
  <c r="D51" i="2"/>
  <c r="E51" i="2"/>
  <c r="F51" i="2"/>
  <c r="G51" i="2"/>
  <c r="H51" i="2"/>
  <c r="I51" i="2"/>
  <c r="J51" i="2"/>
  <c r="K51" i="2"/>
  <c r="L51" i="2"/>
  <c r="M51" i="2"/>
  <c r="C30" i="2"/>
  <c r="C51" i="2" s="1"/>
  <c r="E9" i="3"/>
  <c r="E6" i="1" s="1"/>
  <c r="E89" i="3" l="1"/>
  <c r="F94" i="3" s="1"/>
  <c r="I103" i="3"/>
  <c r="C47" i="2"/>
  <c r="C103" i="3"/>
  <c r="I15" i="3"/>
  <c r="D56" i="3" s="1"/>
  <c r="K39" i="2"/>
  <c r="L39" i="2"/>
  <c r="M39" i="2"/>
  <c r="C62" i="3"/>
  <c r="E103" i="3" l="1"/>
  <c r="F103" i="3"/>
  <c r="C26" i="2"/>
  <c r="B73" i="3"/>
  <c r="C74" i="3"/>
  <c r="H74" i="3" s="1"/>
  <c r="E74" i="3" s="1"/>
  <c r="C75" i="3"/>
  <c r="C77" i="3"/>
  <c r="C79" i="3"/>
  <c r="H79" i="3" s="1"/>
  <c r="H81" i="3"/>
  <c r="K24" i="2"/>
  <c r="L24" i="2"/>
  <c r="M24" i="2"/>
  <c r="D4" i="2"/>
  <c r="K48" i="2"/>
  <c r="L48" i="2"/>
  <c r="M48" i="2"/>
  <c r="D46" i="2"/>
  <c r="E46" i="2"/>
  <c r="F46" i="2"/>
  <c r="G46" i="2"/>
  <c r="H46" i="2"/>
  <c r="I46" i="2"/>
  <c r="J46" i="2"/>
  <c r="K46" i="2"/>
  <c r="L46" i="2"/>
  <c r="M46" i="2"/>
  <c r="C46" i="2"/>
  <c r="D43" i="2"/>
  <c r="E43" i="2"/>
  <c r="F43" i="2"/>
  <c r="G43" i="2"/>
  <c r="H43" i="2"/>
  <c r="I43" i="2"/>
  <c r="J43" i="2"/>
  <c r="K43" i="2"/>
  <c r="L43" i="2"/>
  <c r="M43" i="2"/>
  <c r="D42" i="2"/>
  <c r="E42" i="2"/>
  <c r="F42" i="2"/>
  <c r="G42" i="2"/>
  <c r="H42" i="2"/>
  <c r="I42" i="2"/>
  <c r="J42" i="2"/>
  <c r="K42" i="2"/>
  <c r="L42" i="2"/>
  <c r="M42" i="2"/>
  <c r="C42" i="2"/>
  <c r="K13" i="2"/>
  <c r="L13" i="2"/>
  <c r="M13" i="2"/>
  <c r="M7" i="2"/>
  <c r="D56" i="2"/>
  <c r="E56" i="2"/>
  <c r="F56" i="2"/>
  <c r="G56" i="2"/>
  <c r="H56" i="2"/>
  <c r="I56" i="2"/>
  <c r="J56" i="2"/>
  <c r="K56" i="2"/>
  <c r="L56" i="2"/>
  <c r="M56" i="2"/>
  <c r="D27" i="2"/>
  <c r="E27" i="2"/>
  <c r="E53" i="2" s="1"/>
  <c r="F27" i="2"/>
  <c r="F53" i="2" s="1"/>
  <c r="G27" i="2"/>
  <c r="G53" i="2" s="1"/>
  <c r="H27" i="2"/>
  <c r="I27" i="2"/>
  <c r="I39" i="2" s="1"/>
  <c r="J27" i="2"/>
  <c r="J39" i="2" s="1"/>
  <c r="K27" i="2"/>
  <c r="L27" i="2"/>
  <c r="M27" i="2"/>
  <c r="C31" i="2"/>
  <c r="C32" i="2"/>
  <c r="C25" i="3"/>
  <c r="M25" i="2"/>
  <c r="K23" i="2"/>
  <c r="L23" i="2"/>
  <c r="M23" i="2"/>
  <c r="D11" i="2"/>
  <c r="F11" i="2"/>
  <c r="G11" i="2"/>
  <c r="H11" i="2"/>
  <c r="I11" i="2"/>
  <c r="J11" i="2"/>
  <c r="K11" i="2"/>
  <c r="L11" i="2"/>
  <c r="M11" i="2"/>
  <c r="C11" i="2"/>
  <c r="D9" i="2"/>
  <c r="E13" i="2"/>
  <c r="E21" i="2" s="1"/>
  <c r="F9" i="2"/>
  <c r="G9" i="2"/>
  <c r="H9" i="2"/>
  <c r="I9" i="2"/>
  <c r="I13" i="2" s="1"/>
  <c r="I21" i="2" s="1"/>
  <c r="I40" i="2" s="1"/>
  <c r="J9" i="2"/>
  <c r="J13" i="2" s="1"/>
  <c r="K9" i="2"/>
  <c r="L9" i="2"/>
  <c r="M9" i="2"/>
  <c r="C9" i="2"/>
  <c r="C19" i="2" s="1"/>
  <c r="C43" i="2"/>
  <c r="D13" i="2" l="1"/>
  <c r="D21" i="2" s="1"/>
  <c r="D24" i="2" s="1"/>
  <c r="D19" i="2"/>
  <c r="D20" i="2" s="1"/>
  <c r="G13" i="2"/>
  <c r="G21" i="2" s="1"/>
  <c r="G24" i="2" s="1"/>
  <c r="G19" i="2"/>
  <c r="G3" i="2"/>
  <c r="H13" i="2"/>
  <c r="H21" i="2" s="1"/>
  <c r="H48" i="2" s="1"/>
  <c r="H19" i="2"/>
  <c r="F13" i="2"/>
  <c r="F21" i="2" s="1"/>
  <c r="F24" i="2" s="1"/>
  <c r="F19" i="2"/>
  <c r="H80" i="3"/>
  <c r="J21" i="2"/>
  <c r="J40" i="2" s="1"/>
  <c r="I48" i="2"/>
  <c r="I24" i="2"/>
  <c r="H39" i="2"/>
  <c r="H53" i="2"/>
  <c r="D77" i="3"/>
  <c r="D53" i="2"/>
  <c r="D39" i="2"/>
  <c r="E24" i="2"/>
  <c r="G39" i="2"/>
  <c r="E39" i="2"/>
  <c r="E40" i="2" s="1"/>
  <c r="F39" i="2"/>
  <c r="D81" i="3"/>
  <c r="C76" i="3"/>
  <c r="C78" i="3" s="1"/>
  <c r="D82" i="3"/>
  <c r="D75" i="3"/>
  <c r="D80" i="3"/>
  <c r="D79" i="3"/>
  <c r="L25" i="2"/>
  <c r="C13" i="2"/>
  <c r="C21" i="2" s="1"/>
  <c r="M55" i="2"/>
  <c r="K55" i="2"/>
  <c r="L55" i="2"/>
  <c r="M54" i="2"/>
  <c r="L54" i="2"/>
  <c r="I55" i="2"/>
  <c r="K54" i="2"/>
  <c r="C28" i="3"/>
  <c r="C28" i="2" s="1"/>
  <c r="D40" i="2" l="1"/>
  <c r="G40" i="2"/>
  <c r="H40" i="2"/>
  <c r="F40" i="2"/>
  <c r="C20" i="2"/>
  <c r="H77" i="3"/>
  <c r="I77" i="3" s="1"/>
  <c r="F3" i="2"/>
  <c r="F4" i="2" s="1"/>
  <c r="G20" i="2"/>
  <c r="H55" i="2"/>
  <c r="H24" i="2"/>
  <c r="H23" i="2" s="1"/>
  <c r="F20" i="2"/>
  <c r="E20" i="2"/>
  <c r="H75" i="3"/>
  <c r="I75" i="3" s="1"/>
  <c r="I79" i="3"/>
  <c r="I81" i="3"/>
  <c r="C83" i="3"/>
  <c r="C85" i="3" s="1"/>
  <c r="J55" i="2"/>
  <c r="J24" i="2"/>
  <c r="J48" i="2"/>
  <c r="I82" i="3"/>
  <c r="F82" i="3" s="1"/>
  <c r="E82" i="3" s="1"/>
  <c r="I80" i="3"/>
  <c r="J23" i="2"/>
  <c r="I23" i="2"/>
  <c r="C24" i="2"/>
  <c r="G48" i="2"/>
  <c r="D48" i="2"/>
  <c r="E55" i="2"/>
  <c r="E48" i="2"/>
  <c r="F55" i="2"/>
  <c r="F48" i="2"/>
  <c r="D55" i="2"/>
  <c r="G55" i="2"/>
  <c r="C34" i="2"/>
  <c r="C33" i="2"/>
  <c r="C47" i="3"/>
  <c r="C45" i="3"/>
  <c r="C27" i="3"/>
  <c r="C26" i="3"/>
  <c r="C44" i="3"/>
  <c r="C46" i="3"/>
  <c r="C24" i="1" l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25" i="1"/>
  <c r="C48" i="2"/>
  <c r="D88" i="3" l="1"/>
  <c r="C87" i="3"/>
  <c r="I83" i="3"/>
  <c r="H85" i="3"/>
  <c r="I22" i="3"/>
  <c r="C26" i="1" l="1"/>
  <c r="F83" i="3"/>
  <c r="E83" i="3" s="1"/>
  <c r="I85" i="3"/>
  <c r="H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5" i="2"/>
  <c r="D35" i="2"/>
  <c r="E35" i="2"/>
  <c r="F35" i="2"/>
  <c r="D6" i="1"/>
  <c r="C24" i="3"/>
  <c r="I6" i="3" s="1"/>
  <c r="G35" i="2"/>
  <c r="H35" i="2"/>
  <c r="H54" i="2" s="1"/>
  <c r="I35" i="2"/>
  <c r="I54" i="2" s="1"/>
  <c r="J35" i="2"/>
  <c r="J54" i="2" s="1"/>
  <c r="K35" i="2"/>
  <c r="L35" i="2"/>
  <c r="M35" i="2"/>
  <c r="H7" i="1"/>
  <c r="C7" i="2"/>
  <c r="C23" i="2" s="1"/>
  <c r="M22" i="2"/>
  <c r="L7" i="2"/>
  <c r="K25" i="2" s="1"/>
  <c r="K7" i="2"/>
  <c r="J25" i="2" s="1"/>
  <c r="J7" i="2"/>
  <c r="I25" i="2" s="1"/>
  <c r="I7" i="2"/>
  <c r="H25" i="2" s="1"/>
  <c r="H7" i="2"/>
  <c r="G25" i="2" s="1"/>
  <c r="G7" i="2"/>
  <c r="F7" i="2"/>
  <c r="D7" i="2"/>
  <c r="G5" i="1"/>
  <c r="C2" i="1"/>
  <c r="C56" i="2"/>
  <c r="H87" i="3" l="1"/>
  <c r="I93" i="3" s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F54" i="2"/>
  <c r="E54" i="2"/>
  <c r="D54" i="2"/>
  <c r="G54" i="2"/>
  <c r="C55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C54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9" i="3" l="1"/>
  <c r="H99" i="3" s="1"/>
  <c r="C70" i="3"/>
  <c r="D70" i="3" s="1"/>
  <c r="C39" i="2"/>
  <c r="C40" i="2" s="1"/>
  <c r="D49" i="3"/>
  <c r="D68" i="3"/>
  <c r="D4" i="3"/>
  <c r="C53" i="3" s="1"/>
  <c r="C36" i="2"/>
  <c r="G23" i="1" s="1"/>
  <c r="J47" i="3"/>
  <c r="J28" i="3" s="1"/>
  <c r="C27" i="2" l="1"/>
  <c r="C53" i="2" s="1"/>
  <c r="E53" i="3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85" i="3" l="1"/>
  <c r="E86" i="3" s="1"/>
  <c r="E87" i="3" l="1"/>
  <c r="F93" i="3" s="1"/>
  <c r="F88" i="3"/>
  <c r="F85" i="3"/>
  <c r="E78" i="3"/>
  <c r="E97" i="3" l="1"/>
  <c r="E100" i="3" s="1"/>
  <c r="E106" i="3" s="1"/>
  <c r="F97" i="3"/>
  <c r="F100" i="3" s="1"/>
  <c r="F106" i="3" s="1"/>
  <c r="F29" i="1" s="1"/>
  <c r="C29" i="1" l="1"/>
  <c r="D29" i="1"/>
  <c r="C106" i="3"/>
</calcChain>
</file>

<file path=xl/sharedStrings.xml><?xml version="1.0" encoding="utf-8"?>
<sst xmlns="http://schemas.openxmlformats.org/spreadsheetml/2006/main" count="271" uniqueCount="240">
  <si>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</si>
  <si>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</si>
  <si>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</si>
  <si>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</si>
  <si>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</si>
  <si>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</si>
  <si>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</si>
  <si>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</si>
  <si>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</si>
  <si>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</si>
  <si>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</si>
  <si>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</si>
  <si>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</si>
  <si>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</si>
  <si>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</si>
  <si>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</si>
  <si>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</si>
  <si>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</si>
  <si>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</si>
  <si>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</si>
  <si>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</si>
  <si>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</si>
  <si>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</si>
  <si>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</si>
  <si>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</si>
  <si>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</si>
  <si>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</si>
  <si>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</si>
  <si>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</si>
  <si>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</si>
  <si>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</si>
  <si>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</si>
  <si>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</si>
  <si>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</si>
  <si>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</si>
  <si>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</si>
  <si>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</si>
  <si>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</si>
  <si>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</si>
  <si>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</si>
  <si>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</si>
  <si>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</si>
  <si>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</si>
  <si>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</si>
  <si>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</si>
  <si>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</si>
  <si>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</si>
  <si>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</si>
  <si>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</si>
  <si>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</si>
  <si>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</si>
  <si>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</si>
  <si>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</si>
  <si>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</si>
  <si>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</si>
  <si>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</si>
  <si>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</si>
  <si>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</si>
  <si>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</si>
  <si>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</si>
  <si>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</si>
  <si>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</si>
  <si>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</si>
  <si>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</si>
  <si>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</si>
  <si>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</si>
  <si>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</si>
  <si>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</si>
  <si>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</si>
  <si>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</si>
  <si>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</si>
  <si>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</si>
  <si>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</si>
  <si>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</si>
  <si>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</si>
  <si>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</si>
  <si>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</si>
  <si>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</si>
  <si>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</si>
  <si>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</si>
  <si>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</si>
  <si>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</si>
  <si>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</si>
  <si>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</si>
  <si>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</si>
  <si>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</si>
  <si>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</si>
  <si>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</si>
  <si>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</si>
  <si>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</si>
  <si>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</si>
  <si>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</si>
  <si>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</si>
  <si>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</si>
  <si>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</si>
  <si>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</si>
  <si>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</si>
  <si>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</si>
  <si>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</si>
  <si>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</si>
  <si>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</si>
  <si>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</si>
  <si>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</si>
  <si>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</si>
  <si>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</si>
  <si>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</si>
  <si>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</si>
  <si>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</si>
  <si>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</si>
  <si>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</si>
  <si>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</si>
  <si>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</si>
  <si>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</si>
  <si>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</si>
  <si>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</si>
  <si>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</si>
  <si>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</si>
  <si>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</si>
  <si>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</si>
  <si>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</si>
  <si>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</si>
  <si>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</si>
  <si>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</si>
  <si>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</si>
  <si>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</si>
  <si>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</si>
  <si>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</si>
  <si>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</si>
  <si>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</si>
  <si>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</si>
  <si>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</si>
  <si>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</si>
  <si>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</si>
  <si>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</si>
  <si>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</si>
  <si>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</si>
  <si>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</si>
  <si>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</si>
  <si>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</si>
  <si>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</si>
  <si>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</si>
  <si>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</si>
  <si>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</si>
  <si>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</si>
  <si>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</si>
  <si>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</si>
  <si>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</si>
  <si>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</si>
  <si>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</si>
  <si>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</si>
  <si>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</si>
  <si>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</si>
  <si>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</si>
  <si>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</si>
  <si>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</si>
  <si>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</si>
  <si>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</si>
  <si>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</si>
  <si>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</si>
  <si>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</si>
  <si>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</si>
  <si>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</si>
  <si>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</si>
  <si>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</si>
  <si>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</si>
  <si>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</si>
  <si>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</si>
  <si>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</si>
  <si>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</si>
  <si>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</si>
  <si>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</si>
  <si>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</si>
  <si>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</si>
  <si>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</si>
  <si>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</si>
  <si>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</si>
  <si>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</si>
  <si>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</si>
  <si>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</si>
  <si>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</si>
  <si>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</si>
  <si>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</si>
  <si>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</si>
  <si>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</si>
  <si>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</si>
  <si>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</si>
  <si>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</si>
  <si>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</si>
  <si>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</si>
  <si>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</si>
  <si>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</si>
  <si>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</si>
  <si>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</si>
  <si>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</si>
  <si>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</si>
  <si>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</si>
  <si>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</si>
  <si>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</si>
  <si>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</si>
  <si>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</si>
  <si>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</si>
  <si>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</si>
  <si>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</si>
  <si>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</si>
  <si>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</si>
  <si>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</si>
  <si>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</si>
  <si>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</si>
  <si>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</si>
  <si>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</si>
  <si>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</si>
  <si>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</si>
  <si>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</si>
  <si>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</si>
  <si>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六福珠宝</t>
    <phoneticPr fontId="20" type="noConversion"/>
  </si>
  <si>
    <t>0590.HK</t>
    <phoneticPr fontId="20" type="noConversion"/>
  </si>
  <si>
    <t>C0003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</si>
  <si>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</si>
  <si>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</si>
  <si>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</si>
  <si>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</si>
  <si>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</si>
  <si>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</si>
  <si>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</si>
  <si>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</si>
  <si>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</si>
  <si>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</si>
  <si>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</si>
  <si>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Avg</t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</si>
  <si>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</si>
  <si>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</si>
  <si>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</si>
  <si>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</si>
  <si>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D/P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</si>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</sst>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&quot;$&quot;#,##0.00;[Red]\-&quot;$&quot;#,##0.00"/>
    <numFmt numFmtId="165" formatCode="yyyy\-mm\-dd"/>
    <numFmt numFmtId="166" formatCode="#,##0&quot;mm&quot;"/>
    <numFmt numFmtId="167" formatCode="#,##0.00&quot;x&quot;"/>
    <numFmt numFmtId="168" formatCode="0.00\x"/>
    <numFmt numFmtId="169" formatCode="yyyy\-mm\-dd;@"/>
    <numFmt numFmtId="170" formatCode="_(* #,##0_);_(* \(#,##0\);_(* &quot;-&quot;??_);_(@_)"/>
    <numFmt numFmtId="171" formatCode="&quot;in&quot;\ 0\ &quot;Months&quot;"/>
    <numFmt numFmtId="172" formatCode="#,##0.00_ "/>
    <numFmt numFmtId="173" formatCode="#,##0.0000"/>
    <numFmt numFmtId="174" formatCode="0&quot; Years&quot;"/>
  </numFmts>
  <fonts count="27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1"/>
      <color rgb="FF0000FF"/>
      <name val="Microsoft YaHei"/>
      <family val="1"/>
      <charset val="134"/>
    </font>
    <font>
      <u/>
      <sz val="10"/>
      <color rgb="FF0000FF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31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70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9" fontId="15" fillId="4" borderId="2" xfId="0" applyNumberFormat="1" applyFont="1" applyFill="1" applyBorder="1" applyAlignment="1">
      <alignment horizontal="center"/>
    </xf>
    <xf numFmtId="169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9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8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69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69" fontId="2" fillId="9" borderId="5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2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172" fontId="4" fillId="0" borderId="3" xfId="0" applyNumberFormat="1" applyFont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9" borderId="4" xfId="0" applyFont="1" applyFill="1" applyBorder="1" applyAlignment="1">
      <alignment horizontal="center"/>
    </xf>
    <xf numFmtId="171" fontId="2" fillId="8" borderId="3" xfId="0" applyNumberFormat="1" applyFont="1" applyFill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left"/>
    </xf>
    <xf numFmtId="172" fontId="4" fillId="0" borderId="7" xfId="0" applyNumberFormat="1" applyFont="1" applyBorder="1" applyAlignment="1">
      <alignment horizontal="center"/>
    </xf>
    <xf numFmtId="9" fontId="10" fillId="10" borderId="7" xfId="0" applyNumberFormat="1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67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9" fontId="10" fillId="10" borderId="3" xfId="0" applyNumberFormat="1" applyFont="1" applyFill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10" fontId="10" fillId="10" borderId="4" xfId="0" applyNumberFormat="1" applyFont="1" applyFill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0" fontId="4" fillId="10" borderId="0" xfId="0" applyFont="1" applyFill="1" applyAlignment="1">
      <alignment horizontal="right"/>
    </xf>
    <xf numFmtId="0" fontId="10" fillId="10" borderId="0" xfId="0" applyFont="1" applyFill="1" applyAlignment="1">
      <alignment horizontal="right"/>
    </xf>
    <xf numFmtId="3" fontId="2" fillId="10" borderId="11" xfId="0" applyNumberFormat="1" applyFont="1" applyFill="1" applyBorder="1" applyAlignment="1">
      <alignment horizontal="right"/>
    </xf>
    <xf numFmtId="10" fontId="23" fillId="0" borderId="3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73" fontId="6" fillId="0" borderId="3" xfId="0" applyNumberFormat="1" applyFont="1" applyBorder="1" applyAlignment="1">
      <alignment horizontal="right"/>
    </xf>
    <xf numFmtId="173" fontId="1" fillId="0" borderId="11" xfId="0" applyNumberFormat="1" applyFont="1" applyBorder="1" applyAlignment="1">
      <alignment horizontal="right"/>
    </xf>
    <xf numFmtId="173" fontId="2" fillId="0" borderId="4" xfId="0" applyNumberFormat="1" applyFont="1" applyBorder="1" applyAlignment="1">
      <alignment horizontal="right"/>
    </xf>
    <xf numFmtId="173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67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6" fillId="0" borderId="0" xfId="2" applyFont="1"/>
    <xf numFmtId="10" fontId="10" fillId="10" borderId="3" xfId="0" applyNumberFormat="1" applyFont="1" applyFill="1" applyBorder="1" applyAlignment="1">
      <alignment horizontal="right"/>
    </xf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174" fontId="2" fillId="0" borderId="0" xfId="0" applyNumberFormat="1" applyFont="1" applyAlignment="1">
      <alignment horizontal="right"/>
    </xf>
    <xf numFmtId="0" fontId="4" fillId="12" borderId="0" xfId="0" applyFont="1" applyFill="1"/>
    <xf numFmtId="0" fontId="4" fillId="12" borderId="7" xfId="0" applyFont="1" applyFill="1" applyBorder="1"/>
    <xf numFmtId="0" fontId="24" fillId="0" borderId="0" xfId="0" applyFont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66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5" fillId="9" borderId="4" xfId="0" applyFont="1" applyFill="1" applyBorder="1" applyAlignment="1">
      <alignment horizontal="center"/>
    </xf>
    <xf numFmtId="0" fontId="6" fillId="8" borderId="4" xfId="0" applyFont="1" applyFill="1" applyBorder="1"/>
    <xf numFmtId="165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0" borderId="4" xfId="0" applyFont="1" applyBorder="1" applyAlignment="1">
      <alignment horizontal="center"/>
    </xf>
    <xf numFmtId="169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69" fontId="13" fillId="7" borderId="10" xfId="0" applyNumberFormat="1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15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E28" sqref="E28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4.33203125" style="1" bestFit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90"/>
      <c r="C1" s="90"/>
      <c r="D1" s="90"/>
      <c r="E1" s="90"/>
      <c r="F1" s="90"/>
      <c r="G1" s="90"/>
      <c r="H1" s="90"/>
    </row>
    <row r="2" spans="1:10" ht="15.75" customHeight="1" x14ac:dyDescent="0.2">
      <c r="A2" s="5"/>
      <c r="B2" s="6" t="s">
        <v>0</v>
      </c>
      <c r="C2" s="25" t="str">
        <f>C3&amp;" : "&amp;C4</f>
        <v>0590.HK : 六福珠宝</v>
      </c>
      <c r="D2" s="90"/>
      <c r="E2" s="7"/>
      <c r="F2" s="7"/>
      <c r="G2" s="89"/>
      <c r="H2" s="89"/>
    </row>
    <row r="3" spans="1:10" ht="15.75" customHeight="1" x14ac:dyDescent="0.15">
      <c r="B3" s="3" t="s">
        <v>211</v>
      </c>
      <c r="C3" s="218" t="s">
        <v>215</v>
      </c>
      <c r="D3" s="219"/>
      <c r="E3" s="90"/>
      <c r="F3" s="3" t="s">
        <v>1</v>
      </c>
      <c r="G3" s="140">
        <v>15.100000381469727</v>
      </c>
      <c r="H3" s="142" t="s">
        <v>2</v>
      </c>
    </row>
    <row r="4" spans="1:10" ht="15.75" customHeight="1" x14ac:dyDescent="0.25">
      <c r="B4" s="35" t="s">
        <v>212</v>
      </c>
      <c r="C4" s="220" t="s">
        <v>214</v>
      </c>
      <c r="D4" s="221"/>
      <c r="E4" s="90"/>
      <c r="F4" s="3" t="s">
        <v>3</v>
      </c>
      <c r="G4" s="224">
        <v>587107850</v>
      </c>
      <c r="H4" s="224"/>
      <c r="I4" s="39"/>
    </row>
    <row r="5" spans="1:10" ht="15.75" customHeight="1" x14ac:dyDescent="0.15">
      <c r="B5" s="3" t="s">
        <v>175</v>
      </c>
      <c r="C5" s="222">
        <v>45593</v>
      </c>
      <c r="D5" s="223"/>
      <c r="E5" s="34"/>
      <c r="F5" s="35" t="s">
        <v>102</v>
      </c>
      <c r="G5" s="216">
        <f>G3*G4/1000000</f>
        <v>8865.3287589638712</v>
      </c>
      <c r="H5" s="216"/>
      <c r="I5" s="38"/>
      <c r="J5" s="28"/>
    </row>
    <row r="6" spans="1:10" ht="15.75" customHeight="1" x14ac:dyDescent="0.15">
      <c r="B6" s="90" t="s">
        <v>4</v>
      </c>
      <c r="C6" s="153">
        <v>8</v>
      </c>
      <c r="D6" s="154">
        <f>EOMONTH(EDATE(Fin_Analysis!D9,C6),0)</f>
        <v>45626</v>
      </c>
      <c r="E6" s="51">
        <f>IF(Fin_Analysis!E9="FY",Fin_Analysis!D9,Data!C3)</f>
        <v>45381</v>
      </c>
      <c r="F6" s="3" t="s">
        <v>5</v>
      </c>
      <c r="G6" s="217" t="s">
        <v>2</v>
      </c>
      <c r="H6" s="217"/>
      <c r="I6" s="38"/>
    </row>
    <row r="7" spans="1:10" ht="15.75" customHeight="1" x14ac:dyDescent="0.15">
      <c r="B7" s="89" t="s">
        <v>209</v>
      </c>
      <c r="C7" s="152" t="s">
        <v>46</v>
      </c>
      <c r="D7" s="156" t="s">
        <v>216</v>
      </c>
      <c r="E7" s="90"/>
      <c r="F7" s="35" t="s">
        <v>6</v>
      </c>
      <c r="G7" s="141">
        <v>1</v>
      </c>
      <c r="H7" s="74" t="str">
        <f>IF(G6=Dashboard!H3,H3,G6&amp;"/"&amp;Dashboard!H3)</f>
        <v>HKD</v>
      </c>
    </row>
    <row r="8" spans="1:10" ht="15.75" customHeight="1" x14ac:dyDescent="0.15"/>
    <row r="9" spans="1:10" ht="15.75" customHeight="1" x14ac:dyDescent="0.15">
      <c r="B9" s="147" t="s">
        <v>207</v>
      </c>
      <c r="F9" s="151" t="s">
        <v>201</v>
      </c>
    </row>
    <row r="10" spans="1:10" ht="15.75" customHeight="1" x14ac:dyDescent="0.15">
      <c r="B10" s="1" t="s">
        <v>190</v>
      </c>
      <c r="C10" s="197">
        <v>4.2099999999999999E-2</v>
      </c>
      <c r="F10" s="115" t="s">
        <v>198</v>
      </c>
    </row>
    <row r="11" spans="1:10" ht="15.75" customHeight="1" thickBot="1" x14ac:dyDescent="0.2">
      <c r="B11" s="129" t="s">
        <v>194</v>
      </c>
      <c r="C11" s="198">
        <v>5.3099999999999994E-2</v>
      </c>
      <c r="D11" s="145" t="s">
        <v>205</v>
      </c>
      <c r="F11" s="115" t="s">
        <v>192</v>
      </c>
    </row>
    <row r="12" spans="1:10" ht="15.75" customHeight="1" thickTop="1" x14ac:dyDescent="0.15">
      <c r="B12" s="90" t="s">
        <v>142</v>
      </c>
      <c r="C12" s="199">
        <v>0.06</v>
      </c>
      <c r="D12" s="197">
        <v>7.0000000000000007E-2</v>
      </c>
      <c r="F12" s="115"/>
    </row>
    <row r="13" spans="1:10" ht="15.75" customHeight="1" x14ac:dyDescent="0.15"/>
    <row r="14" spans="1:10" ht="15.75" customHeight="1" x14ac:dyDescent="0.15">
      <c r="B14" s="1" t="s">
        <v>191</v>
      </c>
      <c r="C14" s="197">
        <v>2.1309999999999999E-2</v>
      </c>
      <c r="F14" s="115" t="s">
        <v>197</v>
      </c>
    </row>
    <row r="15" spans="1:10" ht="15.75" customHeight="1" x14ac:dyDescent="0.15">
      <c r="B15" s="1" t="s">
        <v>202</v>
      </c>
      <c r="C15" s="197">
        <v>6.5000000000000002E-2</v>
      </c>
      <c r="F15" s="115" t="s">
        <v>195</v>
      </c>
    </row>
    <row r="16" spans="1:10" ht="15.75" customHeight="1" thickBot="1" x14ac:dyDescent="0.2">
      <c r="B16" s="129" t="s">
        <v>203</v>
      </c>
      <c r="C16" s="198">
        <v>0.16</v>
      </c>
      <c r="D16" s="155" t="s">
        <v>206</v>
      </c>
      <c r="F16" s="115" t="s">
        <v>193</v>
      </c>
    </row>
    <row r="17" spans="1:8" ht="15.75" customHeight="1" thickTop="1" x14ac:dyDescent="0.15">
      <c r="B17" s="90" t="s">
        <v>196</v>
      </c>
      <c r="C17" s="200">
        <v>0.08</v>
      </c>
      <c r="D17" s="201"/>
    </row>
    <row r="18" spans="1:8" ht="15.75" customHeight="1" x14ac:dyDescent="0.15"/>
    <row r="19" spans="1:8" ht="15.75" customHeight="1" x14ac:dyDescent="0.15">
      <c r="B19" s="150" t="s">
        <v>199</v>
      </c>
      <c r="C19" s="143" t="s">
        <v>52</v>
      </c>
      <c r="D19" s="90"/>
      <c r="E19" s="90"/>
      <c r="F19" s="150" t="s">
        <v>237</v>
      </c>
      <c r="G19" s="90"/>
      <c r="H19" s="90"/>
    </row>
    <row r="20" spans="1:8" ht="15.75" customHeight="1" x14ac:dyDescent="0.15">
      <c r="B20" s="145" t="s">
        <v>181</v>
      </c>
      <c r="C20" s="196">
        <f>Fin_Analysis!I75</f>
        <v>0.72762956087193742</v>
      </c>
      <c r="F20" s="90" t="s">
        <v>236</v>
      </c>
      <c r="G20" s="197">
        <v>0.15</v>
      </c>
    </row>
    <row r="21" spans="1:8" ht="15.75" customHeight="1" x14ac:dyDescent="0.15">
      <c r="B21" s="145" t="s">
        <v>182</v>
      </c>
      <c r="C21" s="196">
        <f>Fin_Analysis!I77</f>
        <v>0.12012374818624762</v>
      </c>
      <c r="F21" s="90"/>
      <c r="G21" s="29"/>
    </row>
    <row r="22" spans="1:8" ht="15.75" customHeight="1" x14ac:dyDescent="0.15">
      <c r="B22" s="145" t="s">
        <v>183</v>
      </c>
      <c r="C22" s="196">
        <f>Fin_Analysis!I79</f>
        <v>3.8885650375487034E-3</v>
      </c>
      <c r="F22" s="150" t="s">
        <v>200</v>
      </c>
    </row>
    <row r="23" spans="1:8" ht="15.75" customHeight="1" x14ac:dyDescent="0.15">
      <c r="B23" s="145" t="s">
        <v>184</v>
      </c>
      <c r="C23" s="196">
        <f>Fin_Analysis!I80</f>
        <v>0.03</v>
      </c>
      <c r="F23" s="148" t="s">
        <v>204</v>
      </c>
      <c r="G23" s="202">
        <f>G3/(Data!C36*Data!C4/Common_Shares*Exchange_Rate)</f>
        <v>0.68916348364732616</v>
      </c>
    </row>
    <row r="24" spans="1:8" ht="15.75" customHeight="1" x14ac:dyDescent="0.15">
      <c r="B24" s="145" t="s">
        <v>185</v>
      </c>
      <c r="C24" s="196">
        <f>Fin_Analysis!I81</f>
        <v>4.0883763120383568E-2</v>
      </c>
      <c r="F24" s="148" t="s">
        <v>189</v>
      </c>
      <c r="G24" s="203">
        <f>(Fin_Analysis!H86*G7)/G3</f>
        <v>0.10045051675038838</v>
      </c>
    </row>
    <row r="25" spans="1:8" ht="15.75" customHeight="1" x14ac:dyDescent="0.15">
      <c r="B25" s="145" t="s">
        <v>208</v>
      </c>
      <c r="C25" s="196">
        <f>Fin_Analysis!I82</f>
        <v>0</v>
      </c>
      <c r="F25" s="148" t="s">
        <v>188</v>
      </c>
      <c r="G25" s="196">
        <f>Fin_Analysis!I88</f>
        <v>0.8966227930318843</v>
      </c>
    </row>
    <row r="26" spans="1:8" ht="15.75" customHeight="1" x14ac:dyDescent="0.15">
      <c r="B26" s="146" t="s">
        <v>187</v>
      </c>
      <c r="C26" s="196">
        <f>Fin_Analysis!I83</f>
        <v>7.7474362783882672E-2</v>
      </c>
      <c r="F26" s="149" t="s">
        <v>210</v>
      </c>
      <c r="G26" s="203">
        <f>Fin_Analysis!H88*Exchange_Rate/G3</f>
        <v>9.0066222890229308E-2</v>
      </c>
    </row>
    <row r="27" spans="1:8" ht="15.75" customHeight="1" x14ac:dyDescent="0.15"/>
    <row r="28" spans="1:8" ht="15.75" customHeight="1" x14ac:dyDescent="0.15">
      <c r="A28" s="5"/>
      <c r="B28" s="94" t="s">
        <v>7</v>
      </c>
      <c r="C28" s="93" t="s">
        <v>178</v>
      </c>
      <c r="D28" s="43" t="s">
        <v>179</v>
      </c>
      <c r="E28" s="59"/>
      <c r="F28" s="53" t="str">
        <f>Fin_Analysis!F96</f>
        <v>Pessimistic Case</v>
      </c>
      <c r="G28" s="214" t="str">
        <f>Fin_Analysis!H96</f>
        <v>Base Case</v>
      </c>
      <c r="H28" s="214"/>
    </row>
    <row r="29" spans="1:8" ht="15.75" customHeight="1" x14ac:dyDescent="0.15">
      <c r="B29" s="90" t="s">
        <v>180</v>
      </c>
      <c r="C29" s="138">
        <f>IF(Fin_Analysis!C108="Profit",Fin_Analysis!F100,IF(Fin_Analysis!C108="Dividend",Fin_Analysis!E103,Fin_Analysis!E106))</f>
        <v>12.278692597283481</v>
      </c>
      <c r="D29" s="137">
        <f>IF(Fin_Analysis!C108="Profit",Fin_Analysis!I100,IF(Fin_Analysis!C108="Dividend",Fin_Analysis!I103,Fin_Analysis!I106))</f>
        <v>29.065773522367007</v>
      </c>
      <c r="E29" s="90"/>
      <c r="F29" s="139">
        <f>IF(Fin_Analysis!C108="Profit",Fin_Analysis!F100,IF(Fin_Analysis!C108="Dividend",Fin_Analysis!F103,Fin_Analysis!F106))</f>
        <v>17.73492134895082</v>
      </c>
      <c r="G29" s="215">
        <f>IF(Fin_Analysis!C108="Profit",Fin_Analysis!H100,IF(Fin_Analysis!C108="Dividend",Fin_Analysis!H103,Fin_Analysis!H106))</f>
        <v>23.252618817893605</v>
      </c>
      <c r="H29" s="215"/>
    </row>
    <row r="30" spans="1:8" ht="15.75" customHeight="1" x14ac:dyDescent="0.15"/>
    <row r="31" spans="1:8" ht="15.75" customHeight="1" x14ac:dyDescent="0.15"/>
    <row r="32" spans="1:8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4" priority="5">
      <formula>LEN(TRIM(C11))=0</formula>
    </cfRule>
  </conditionalFormatting>
  <conditionalFormatting sqref="D12">
    <cfRule type="containsBlanks" dxfId="13" priority="3">
      <formula>LEN(TRIM(D12))=0</formula>
    </cfRule>
  </conditionalFormatting>
  <conditionalFormatting sqref="D17">
    <cfRule type="containsBlanks" dxfId="12" priority="2">
      <formula>LEN(TRIM(D17))=0</formula>
    </cfRule>
  </conditionalFormatting>
  <conditionalFormatting sqref="E28">
    <cfRule type="cellIs" dxfId="11" priority="41" operator="greaterThan">
      <formula>#REF!</formula>
    </cfRule>
  </conditionalFormatting>
  <conditionalFormatting sqref="G20">
    <cfRule type="containsBlanks" dxfId="10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18" sqref="C18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9</v>
      </c>
      <c r="C2" s="18"/>
      <c r="D2" s="17"/>
      <c r="E2" s="163" t="s">
        <v>221</v>
      </c>
      <c r="F2" s="126" t="s">
        <v>224</v>
      </c>
      <c r="G2" s="163" t="s">
        <v>225</v>
      </c>
      <c r="H2" s="162" t="s">
        <v>226</v>
      </c>
      <c r="I2" s="7"/>
      <c r="J2" s="90"/>
      <c r="K2" s="7"/>
      <c r="L2" s="7"/>
      <c r="M2" s="7"/>
    </row>
    <row r="3" spans="1:14" ht="15.75" customHeight="1" x14ac:dyDescent="0.15">
      <c r="A3" s="4"/>
      <c r="B3" s="108" t="s">
        <v>10</v>
      </c>
      <c r="C3" s="92">
        <v>45381</v>
      </c>
      <c r="E3" s="161" t="s">
        <v>222</v>
      </c>
      <c r="F3" s="88">
        <f>H19</f>
        <v>1568270</v>
      </c>
      <c r="G3" s="88">
        <f>C19</f>
        <v>1817177</v>
      </c>
      <c r="H3" s="88">
        <v>6</v>
      </c>
      <c r="I3" s="90"/>
      <c r="J3" s="42"/>
      <c r="K3" s="90"/>
      <c r="L3" s="90"/>
      <c r="M3" s="90"/>
    </row>
    <row r="4" spans="1:14" ht="15.75" customHeight="1" x14ac:dyDescent="0.15">
      <c r="A4" s="4"/>
      <c r="B4" s="108" t="s">
        <v>11</v>
      </c>
      <c r="C4" s="88">
        <v>1000</v>
      </c>
      <c r="D4" s="1" t="str">
        <f>Dashboard!G6</f>
        <v>HKD</v>
      </c>
      <c r="E4" s="161" t="s">
        <v>223</v>
      </c>
      <c r="F4" s="97">
        <f>(G3/F3)^(1/H3)-1</f>
        <v>2.4855727987756815E-2</v>
      </c>
      <c r="J4" s="90"/>
    </row>
    <row r="5" spans="1:14" ht="15.75" customHeight="1" x14ac:dyDescent="0.15">
      <c r="A5" s="16"/>
      <c r="B5" s="122" t="s">
        <v>144</v>
      </c>
      <c r="C5" s="48">
        <f>C3</f>
        <v>45381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15">
      <c r="A6" s="4"/>
      <c r="B6" s="98" t="s">
        <v>12</v>
      </c>
      <c r="C6" s="164">
        <v>15325962</v>
      </c>
      <c r="D6" s="164">
        <v>11977844</v>
      </c>
      <c r="E6" s="164">
        <v>11737803</v>
      </c>
      <c r="F6" s="164">
        <v>8861335</v>
      </c>
      <c r="G6" s="164">
        <v>11233771</v>
      </c>
      <c r="H6" s="164">
        <v>15859990</v>
      </c>
      <c r="I6" s="164"/>
      <c r="J6" s="164"/>
      <c r="K6" s="164"/>
      <c r="L6" s="164"/>
      <c r="M6" s="164"/>
      <c r="N6" s="90"/>
    </row>
    <row r="7" spans="1:14" ht="15.75" customHeight="1" x14ac:dyDescent="0.15">
      <c r="A7" s="4"/>
      <c r="B7" s="100" t="s">
        <v>13</v>
      </c>
      <c r="C7" s="96">
        <f t="shared" ref="C7:M7" si="1">IF(D6="","",C6/D6-1)</f>
        <v>0.27952593137796744</v>
      </c>
      <c r="D7" s="96">
        <f t="shared" si="1"/>
        <v>2.0450249505806095E-2</v>
      </c>
      <c r="E7" s="96">
        <f t="shared" si="1"/>
        <v>0.32460887665346139</v>
      </c>
      <c r="F7" s="96">
        <f t="shared" si="1"/>
        <v>-0.21118785490642455</v>
      </c>
      <c r="G7" s="96">
        <f t="shared" si="1"/>
        <v>-0.29169116752280422</v>
      </c>
      <c r="H7" s="96" t="str">
        <f t="shared" si="1"/>
        <v/>
      </c>
      <c r="I7" s="96" t="str">
        <f t="shared" si="1"/>
        <v/>
      </c>
      <c r="J7" s="96" t="str">
        <f t="shared" si="1"/>
        <v/>
      </c>
      <c r="K7" s="96" t="str">
        <f t="shared" si="1"/>
        <v/>
      </c>
      <c r="L7" s="96" t="str">
        <f t="shared" si="1"/>
        <v/>
      </c>
      <c r="M7" s="96" t="str">
        <f t="shared" si="1"/>
        <v/>
      </c>
      <c r="N7" s="90"/>
    </row>
    <row r="8" spans="1:14" ht="15.75" customHeight="1" x14ac:dyDescent="0.15">
      <c r="A8" s="4"/>
      <c r="B8" s="101" t="s">
        <v>109</v>
      </c>
      <c r="C8" s="165">
        <v>11151623</v>
      </c>
      <c r="D8" s="165">
        <v>8747447</v>
      </c>
      <c r="E8" s="165">
        <v>8503976</v>
      </c>
      <c r="F8" s="165">
        <v>6229020</v>
      </c>
      <c r="G8" s="165">
        <v>7910751</v>
      </c>
      <c r="H8" s="165">
        <v>11826154</v>
      </c>
      <c r="I8" s="165"/>
      <c r="J8" s="165"/>
      <c r="K8" s="165"/>
      <c r="L8" s="165"/>
      <c r="M8" s="165"/>
      <c r="N8" s="90"/>
    </row>
    <row r="9" spans="1:14" ht="15.75" customHeight="1" x14ac:dyDescent="0.15">
      <c r="A9" s="4"/>
      <c r="B9" s="102" t="s">
        <v>105</v>
      </c>
      <c r="C9" s="166">
        <f t="shared" ref="C9:M9" si="2">IF(C6="","",(C6-C8))</f>
        <v>4174339</v>
      </c>
      <c r="D9" s="166">
        <f t="shared" si="2"/>
        <v>3230397</v>
      </c>
      <c r="E9" s="166">
        <f t="shared" si="2"/>
        <v>3233827</v>
      </c>
      <c r="F9" s="166">
        <f t="shared" si="2"/>
        <v>2632315</v>
      </c>
      <c r="G9" s="166">
        <f t="shared" si="2"/>
        <v>3323020</v>
      </c>
      <c r="H9" s="166">
        <f t="shared" si="2"/>
        <v>4033836</v>
      </c>
      <c r="I9" s="166" t="str">
        <f t="shared" si="2"/>
        <v/>
      </c>
      <c r="J9" s="166" t="str">
        <f t="shared" si="2"/>
        <v/>
      </c>
      <c r="K9" s="166" t="str">
        <f t="shared" si="2"/>
        <v/>
      </c>
      <c r="L9" s="166" t="str">
        <f t="shared" si="2"/>
        <v/>
      </c>
      <c r="M9" s="166" t="str">
        <f t="shared" si="2"/>
        <v/>
      </c>
      <c r="N9" s="90"/>
    </row>
    <row r="10" spans="1:14" ht="15.75" customHeight="1" x14ac:dyDescent="0.15">
      <c r="A10" s="4"/>
      <c r="B10" s="101" t="s">
        <v>107</v>
      </c>
      <c r="C10" s="165">
        <v>2297566</v>
      </c>
      <c r="D10" s="165">
        <v>1867515</v>
      </c>
      <c r="E10" s="165">
        <v>1815111</v>
      </c>
      <c r="F10" s="165">
        <v>1694480</v>
      </c>
      <c r="G10" s="165">
        <v>2118252</v>
      </c>
      <c r="H10" s="165">
        <v>2416769</v>
      </c>
      <c r="I10" s="165"/>
      <c r="J10" s="165"/>
      <c r="K10" s="165"/>
      <c r="L10" s="165"/>
      <c r="M10" s="165"/>
      <c r="N10" s="90"/>
    </row>
    <row r="11" spans="1:14" ht="15.75" customHeight="1" x14ac:dyDescent="0.15">
      <c r="A11" s="4"/>
      <c r="B11" s="98" t="s">
        <v>100</v>
      </c>
      <c r="C11" s="167">
        <f t="shared" ref="C11:M11" si="3">IF(C6="","",(C12/C6))</f>
        <v>2.9789581887257714E-2</v>
      </c>
      <c r="D11" s="167">
        <f t="shared" si="3"/>
        <v>3.1156775793707115E-2</v>
      </c>
      <c r="E11" s="167">
        <f t="shared" si="3"/>
        <v>0</v>
      </c>
      <c r="F11" s="167">
        <f t="shared" si="3"/>
        <v>0</v>
      </c>
      <c r="G11" s="167">
        <f t="shared" si="3"/>
        <v>0</v>
      </c>
      <c r="H11" s="167">
        <f t="shared" si="3"/>
        <v>0</v>
      </c>
      <c r="I11" s="167" t="str">
        <f t="shared" si="3"/>
        <v/>
      </c>
      <c r="J11" s="167" t="str">
        <f t="shared" si="3"/>
        <v/>
      </c>
      <c r="K11" s="167" t="str">
        <f t="shared" si="3"/>
        <v/>
      </c>
      <c r="L11" s="167" t="str">
        <f t="shared" si="3"/>
        <v/>
      </c>
      <c r="M11" s="167" t="str">
        <f t="shared" si="3"/>
        <v/>
      </c>
      <c r="N11" s="90"/>
    </row>
    <row r="12" spans="1:14" ht="15.75" customHeight="1" x14ac:dyDescent="0.15">
      <c r="A12" s="4"/>
      <c r="B12" s="101" t="s">
        <v>108</v>
      </c>
      <c r="C12" s="165">
        <v>456554</v>
      </c>
      <c r="D12" s="165">
        <v>373191</v>
      </c>
      <c r="E12" s="165"/>
      <c r="F12" s="165"/>
      <c r="G12" s="165"/>
      <c r="H12" s="165"/>
      <c r="I12" s="165"/>
      <c r="J12" s="165"/>
      <c r="K12" s="165"/>
      <c r="L12" s="165"/>
      <c r="M12" s="165"/>
      <c r="N12" s="90"/>
    </row>
    <row r="13" spans="1:14" ht="15.75" customHeight="1" x14ac:dyDescent="0.15">
      <c r="A13" s="4"/>
      <c r="B13" s="102" t="s">
        <v>106</v>
      </c>
      <c r="C13" s="166">
        <f>IF(C6="","",(C9-C10+C12))</f>
        <v>2333327</v>
      </c>
      <c r="D13" s="166">
        <f t="shared" ref="D13:M13" si="4">IF(D6="","",(D9-D10+D12))</f>
        <v>1736073</v>
      </c>
      <c r="E13" s="166">
        <f t="shared" si="4"/>
        <v>1418716</v>
      </c>
      <c r="F13" s="166">
        <f t="shared" si="4"/>
        <v>937835</v>
      </c>
      <c r="G13" s="166">
        <f t="shared" si="4"/>
        <v>1204768</v>
      </c>
      <c r="H13" s="166">
        <f t="shared" si="4"/>
        <v>1617067</v>
      </c>
      <c r="I13" s="166" t="str">
        <f t="shared" si="4"/>
        <v/>
      </c>
      <c r="J13" s="166" t="str">
        <f t="shared" si="4"/>
        <v/>
      </c>
      <c r="K13" s="166" t="str">
        <f t="shared" si="4"/>
        <v/>
      </c>
      <c r="L13" s="166" t="str">
        <f t="shared" si="4"/>
        <v/>
      </c>
      <c r="M13" s="166" t="str">
        <f t="shared" si="4"/>
        <v/>
      </c>
      <c r="N13" s="90"/>
    </row>
    <row r="14" spans="1:14" ht="15.75" customHeight="1" x14ac:dyDescent="0.15">
      <c r="A14" s="4"/>
      <c r="B14" s="101" t="s">
        <v>110</v>
      </c>
      <c r="C14" s="165"/>
      <c r="D14" s="165"/>
      <c r="E14" s="165"/>
      <c r="F14" s="165"/>
      <c r="G14" s="165"/>
      <c r="H14" s="165"/>
      <c r="I14" s="165"/>
      <c r="J14" s="165"/>
      <c r="K14" s="165"/>
      <c r="L14" s="165"/>
      <c r="M14" s="165"/>
      <c r="N14" s="90"/>
    </row>
    <row r="15" spans="1:14" ht="15.75" customHeight="1" x14ac:dyDescent="0.15">
      <c r="A15" s="4"/>
      <c r="B15" s="101" t="s">
        <v>111</v>
      </c>
      <c r="C15" s="165">
        <v>676387</v>
      </c>
      <c r="D15" s="165">
        <v>107280</v>
      </c>
      <c r="E15" s="165">
        <v>455483</v>
      </c>
      <c r="F15" s="165">
        <v>138937</v>
      </c>
      <c r="G15" s="165"/>
      <c r="H15" s="165"/>
      <c r="I15" s="165"/>
      <c r="J15" s="165"/>
      <c r="K15" s="165"/>
      <c r="L15" s="165"/>
      <c r="M15" s="165"/>
      <c r="N15" s="90"/>
    </row>
    <row r="16" spans="1:14" ht="15.75" customHeight="1" x14ac:dyDescent="0.15">
      <c r="A16" s="4"/>
      <c r="B16" s="101" t="s">
        <v>113</v>
      </c>
      <c r="C16" s="165">
        <v>626583</v>
      </c>
      <c r="D16" s="165">
        <v>352099</v>
      </c>
      <c r="E16" s="165">
        <v>1045251</v>
      </c>
      <c r="F16" s="165">
        <v>-818677</v>
      </c>
      <c r="G16" s="165"/>
      <c r="H16" s="165"/>
      <c r="I16" s="165"/>
      <c r="J16" s="165"/>
      <c r="K16" s="165"/>
      <c r="L16" s="165"/>
      <c r="M16" s="165"/>
      <c r="N16" s="90"/>
    </row>
    <row r="17" spans="1:14" ht="15.75" customHeight="1" x14ac:dyDescent="0.15">
      <c r="A17" s="4"/>
      <c r="B17" s="101" t="s">
        <v>129</v>
      </c>
      <c r="C17" s="165">
        <v>59596</v>
      </c>
      <c r="D17" s="165">
        <v>20763</v>
      </c>
      <c r="E17" s="165">
        <v>23097</v>
      </c>
      <c r="F17" s="165">
        <v>28849</v>
      </c>
      <c r="G17" s="165">
        <v>63075</v>
      </c>
      <c r="H17" s="165">
        <v>34253</v>
      </c>
      <c r="I17" s="165"/>
      <c r="J17" s="165"/>
      <c r="K17" s="165"/>
      <c r="L17" s="165"/>
      <c r="M17" s="165"/>
      <c r="N17" s="90"/>
    </row>
    <row r="18" spans="1:14" ht="15.75" customHeight="1" x14ac:dyDescent="0.15">
      <c r="A18" s="4"/>
      <c r="B18" s="103" t="s">
        <v>114</v>
      </c>
      <c r="C18" s="165">
        <v>-9467</v>
      </c>
      <c r="D18" s="165">
        <v>-30</v>
      </c>
      <c r="E18" s="165">
        <v>-27</v>
      </c>
      <c r="F18" s="165">
        <v>1799</v>
      </c>
      <c r="G18" s="165">
        <v>1337</v>
      </c>
      <c r="H18" s="165">
        <v>10908</v>
      </c>
      <c r="I18" s="165"/>
      <c r="J18" s="165"/>
      <c r="K18" s="165"/>
      <c r="L18" s="165"/>
      <c r="M18" s="165"/>
      <c r="N18" s="90"/>
    </row>
    <row r="19" spans="1:14" ht="15.75" customHeight="1" x14ac:dyDescent="0.15">
      <c r="A19" s="4"/>
      <c r="B19" s="103" t="s">
        <v>219</v>
      </c>
      <c r="C19" s="80">
        <f>IF(C6="","",C9-C10-C17-MAX(C18/(1-Fin_Analysis!$I$84),0))</f>
        <v>1817177</v>
      </c>
      <c r="D19" s="80">
        <f>IF(D6="","",D9-D10-D17-MAX(D18/(1-Fin_Analysis!$I$84),0))</f>
        <v>1342119</v>
      </c>
      <c r="E19" s="80">
        <f>IF(E6="","",E9-E10-E17-MAX(E18/(1-Fin_Analysis!$I$84),0))</f>
        <v>1395619</v>
      </c>
      <c r="F19" s="80">
        <f>IF(F6="","",F9-F10-F17-MAX(F18/(1-Fin_Analysis!$I$84),0))</f>
        <v>906587.33333333337</v>
      </c>
      <c r="G19" s="80">
        <f>IF(G6="","",G9-G10-G17-MAX(G18/(1-Fin_Analysis!$I$84),0))</f>
        <v>1139910.3333333333</v>
      </c>
      <c r="H19" s="80">
        <f>IF(H6="","",H9-H10-H17-MAX(H18/(1-Fin_Analysis!$I$84),0))</f>
        <v>1568270</v>
      </c>
      <c r="I19" s="80" t="str">
        <f>IF(I6="","",I9-I10-I17-MAX(I18/(1-Fin_Analysis!$I$84),0))</f>
        <v/>
      </c>
      <c r="J19" s="80" t="str">
        <f>IF(J6="","",J9-J10-J17-MAX(J18/(1-Fin_Analysis!$I$84),0))</f>
        <v/>
      </c>
      <c r="K19" s="80" t="str">
        <f>IF(K6="","",K9-K10-K17-MAX(K18/(1-Fin_Analysis!$I$84),0))</f>
        <v/>
      </c>
      <c r="L19" s="80" t="str">
        <f>IF(L6="","",L9-L10-L17-MAX(L18/(1-Fin_Analysis!$I$84),0))</f>
        <v/>
      </c>
      <c r="M19" s="80" t="str">
        <f>IF(M6="","",M9-M10-M17-MAX(M18/(1-Fin_Analysis!$I$84),0))</f>
        <v/>
      </c>
      <c r="N19" s="90"/>
    </row>
    <row r="20" spans="1:14" ht="15.75" customHeight="1" x14ac:dyDescent="0.15">
      <c r="A20" s="4"/>
      <c r="B20" s="103" t="s">
        <v>220</v>
      </c>
      <c r="C20" s="168">
        <f>IF(D19="","",IF(ABS(C19+D19)=ABS(C19)+ABS(D19),IF(C19&lt;0,-1,1)*(C19-D19)/D19,"Turn"))</f>
        <v>0.35396116141713219</v>
      </c>
      <c r="D20" s="168">
        <f t="shared" ref="D20:M20" si="5">IF(E19="","",IF(ABS(D19+E19)=ABS(D19)+ABS(E19),IF(D19&lt;0,-1,1)*(D19-E19)/E19,"Turn"))</f>
        <v>-3.8334244518023905E-2</v>
      </c>
      <c r="E20" s="168">
        <f t="shared" si="5"/>
        <v>0.53942036104629731</v>
      </c>
      <c r="F20" s="168">
        <f t="shared" si="5"/>
        <v>-0.20468539776959055</v>
      </c>
      <c r="G20" s="168">
        <f t="shared" si="5"/>
        <v>-0.27314152962606358</v>
      </c>
      <c r="H20" s="168" t="str">
        <f t="shared" si="5"/>
        <v/>
      </c>
      <c r="I20" s="168" t="str">
        <f t="shared" si="5"/>
        <v/>
      </c>
      <c r="J20" s="168" t="str">
        <f t="shared" si="5"/>
        <v/>
      </c>
      <c r="K20" s="168" t="str">
        <f t="shared" si="5"/>
        <v/>
      </c>
      <c r="L20" s="168" t="str">
        <f t="shared" si="5"/>
        <v/>
      </c>
      <c r="M20" s="168" t="str">
        <f t="shared" si="5"/>
        <v/>
      </c>
      <c r="N20" s="90"/>
    </row>
    <row r="21" spans="1:14" ht="15.75" customHeight="1" x14ac:dyDescent="0.15">
      <c r="A21" s="4"/>
      <c r="B21" s="98" t="s">
        <v>115</v>
      </c>
      <c r="C21" s="80">
        <f>IF(C6="","",C13-C14-MAX(C15,0)-MAX(C16,0)-C17-MAX(C18/(1-Fin_Analysis!$I$84),0))</f>
        <v>970761</v>
      </c>
      <c r="D21" s="80">
        <f>IF(D6="","",D13-D14-MAX(D15,0)-MAX(D16,0)-D17-MAX(D18/(1-Fin_Analysis!$I$84),0))</f>
        <v>1255931</v>
      </c>
      <c r="E21" s="80">
        <f>IF(E6="","",E13-E14-MAX(E15,0)-MAX(E16,0)-E17-MAX(E18/(1-Fin_Analysis!$I$84),0))</f>
        <v>-105115</v>
      </c>
      <c r="F21" s="80">
        <f>IF(F6="","",F13-F14-MAX(F15,0)-MAX(F16,0)-F17-MAX(F18/(1-Fin_Analysis!$I$84),0))</f>
        <v>767650.33333333337</v>
      </c>
      <c r="G21" s="80">
        <f>IF(G6="","",G13-G14-MAX(G15,0)-MAX(G16,0)-G17-MAX(G18/(1-Fin_Analysis!$I$84),0))</f>
        <v>1139910.3333333333</v>
      </c>
      <c r="H21" s="80">
        <f>IF(H6="","",H13-H14-MAX(H15,0)-MAX(H16,0)-H17-MAX(H18/(1-Fin_Analysis!$I$84),0))</f>
        <v>1568270</v>
      </c>
      <c r="I21" s="80" t="str">
        <f>IF(I6="","",I13-I14-MAX(I15,0)-MAX(I16,0)-I17-MAX(I18/(1-Fin_Analysis!$I$84),0))</f>
        <v/>
      </c>
      <c r="J21" s="80" t="str">
        <f>IF(J6="","",J13-J14-MAX(J15,0)-MAX(J16,0)-J17-MAX(J18/(1-Fin_Analysis!$I$84),0))</f>
        <v/>
      </c>
      <c r="K21" s="80" t="str">
        <f>IF(K6="","",K13-K14-MAX(K15,0)-MAX(K16,0)-K17-MAX(K18/(1-Fin_Analysis!$I$84),0))</f>
        <v/>
      </c>
      <c r="L21" s="80" t="str">
        <f>IF(L6="","",L13-L14-MAX(L15,0)-MAX(L16,0)-L17-MAX(L18/(1-Fin_Analysis!$I$84),0))</f>
        <v/>
      </c>
      <c r="M21" s="80" t="str">
        <f>IF(M6="","",M13-M14-MAX(M15,0)-MAX(M16,0)-M17-MAX(M18/(1-Fin_Analysis!$I$84),0))</f>
        <v/>
      </c>
      <c r="N21" s="90"/>
    </row>
    <row r="22" spans="1:14" ht="15.75" customHeight="1" x14ac:dyDescent="0.15">
      <c r="A22" s="4"/>
      <c r="B22" s="102" t="s">
        <v>116</v>
      </c>
      <c r="C22" s="168">
        <f>IF(D21="","",IF(ABS(C21+D21)=ABS(C21)+ABS(D21),IF(C21&lt;0,-1,1)*(C21-D21)/D21,"Turn"))</f>
        <v>-0.22705865210748041</v>
      </c>
      <c r="D22" s="168" t="str">
        <f t="shared" ref="D22:M22" si="6">IF(E21="","",IF(ABS(D21+E21)=ABS(D21)+ABS(E21),IF(D21&lt;0,-1,1)*(D21-E21)/E21,"Turn"))</f>
        <v>Turn</v>
      </c>
      <c r="E22" s="168" t="str">
        <f t="shared" si="6"/>
        <v>Turn</v>
      </c>
      <c r="F22" s="168">
        <f t="shared" si="6"/>
        <v>-0.32656954596721194</v>
      </c>
      <c r="G22" s="168">
        <f t="shared" si="6"/>
        <v>-0.27314152962606358</v>
      </c>
      <c r="H22" s="168" t="str">
        <f t="shared" si="6"/>
        <v/>
      </c>
      <c r="I22" s="168" t="str">
        <f t="shared" si="6"/>
        <v/>
      </c>
      <c r="J22" s="168" t="str">
        <f t="shared" si="6"/>
        <v/>
      </c>
      <c r="K22" s="168" t="str">
        <f t="shared" si="6"/>
        <v/>
      </c>
      <c r="L22" s="168" t="str">
        <f t="shared" si="6"/>
        <v/>
      </c>
      <c r="M22" s="168" t="str">
        <f t="shared" si="6"/>
        <v/>
      </c>
      <c r="N22" s="90"/>
    </row>
    <row r="23" spans="1:14" ht="15.75" customHeight="1" x14ac:dyDescent="0.15">
      <c r="A23" s="4"/>
      <c r="B23" s="104" t="s">
        <v>117</v>
      </c>
      <c r="C23" s="169">
        <f t="shared" ref="C23:M23" si="7">IF(C6="","",C24/C6)</f>
        <v>4.7505712855088637E-2</v>
      </c>
      <c r="D23" s="169">
        <f t="shared" si="7"/>
        <v>7.8640884786944962E-2</v>
      </c>
      <c r="E23" s="169">
        <f t="shared" si="7"/>
        <v>-6.7164400356693665E-3</v>
      </c>
      <c r="F23" s="169">
        <f t="shared" si="7"/>
        <v>6.4971897575252485E-2</v>
      </c>
      <c r="G23" s="169">
        <f t="shared" si="7"/>
        <v>7.6103807884280353E-2</v>
      </c>
      <c r="H23" s="169">
        <f t="shared" si="7"/>
        <v>7.4161616747551548E-2</v>
      </c>
      <c r="I23" s="169" t="str">
        <f t="shared" si="7"/>
        <v/>
      </c>
      <c r="J23" s="169" t="str">
        <f t="shared" si="7"/>
        <v/>
      </c>
      <c r="K23" s="169" t="str">
        <f t="shared" si="7"/>
        <v/>
      </c>
      <c r="L23" s="169" t="str">
        <f t="shared" si="7"/>
        <v/>
      </c>
      <c r="M23" s="169" t="str">
        <f t="shared" si="7"/>
        <v/>
      </c>
      <c r="N23" s="90"/>
    </row>
    <row r="24" spans="1:14" ht="15.75" customHeight="1" x14ac:dyDescent="0.15">
      <c r="A24" s="4"/>
      <c r="B24" s="106" t="s">
        <v>118</v>
      </c>
      <c r="C24" s="170">
        <f>IF(C6="","",C21*(1-Fin_Analysis!$I$84))</f>
        <v>728070.75</v>
      </c>
      <c r="D24" s="80">
        <f>IF(D6="","",D21*(1-Fin_Analysis!$I$84))</f>
        <v>941948.25</v>
      </c>
      <c r="E24" s="80">
        <f>IF(E6="","",E21*(1-Fin_Analysis!$I$84))</f>
        <v>-78836.25</v>
      </c>
      <c r="F24" s="80">
        <f>IF(F6="","",F21*(1-Fin_Analysis!$I$84))</f>
        <v>575737.75</v>
      </c>
      <c r="G24" s="80">
        <f>IF(G6="","",G21*(1-Fin_Analysis!$I$84))</f>
        <v>854932.75</v>
      </c>
      <c r="H24" s="80">
        <f>IF(H6="","",H21*(1-Fin_Analysis!$I$84))</f>
        <v>1176202.5</v>
      </c>
      <c r="I24" s="80" t="str">
        <f>IF(I6="","",I21*(1-Fin_Analysis!$I$84))</f>
        <v/>
      </c>
      <c r="J24" s="80" t="str">
        <f>IF(J6="","",J21*(1-Fin_Analysis!$I$84))</f>
        <v/>
      </c>
      <c r="K24" s="80" t="str">
        <f>IF(K6="","",K21*(1-Fin_Analysis!$I$84))</f>
        <v/>
      </c>
      <c r="L24" s="80" t="str">
        <f>IF(L6="","",L21*(1-Fin_Analysis!$I$84))</f>
        <v/>
      </c>
      <c r="M24" s="80" t="str">
        <f>IF(M6="","",M21*(1-Fin_Analysis!$I$84))</f>
        <v/>
      </c>
      <c r="N24" s="90"/>
    </row>
    <row r="25" spans="1:14" ht="15.75" customHeight="1" thickBot="1" x14ac:dyDescent="0.2">
      <c r="A25" s="4"/>
      <c r="B25" s="105" t="s">
        <v>138</v>
      </c>
      <c r="C25" s="171">
        <f>IF(D24="","",IF(ABS(C24+D24)=ABS(C24)+ABS(D24),IF(C24&lt;0,-1,1)*(C24-D24)/D24,"Turn"))</f>
        <v>-0.22705865210748041</v>
      </c>
      <c r="D25" s="171" t="str">
        <f t="shared" ref="D25:M25" si="8">IF(E24="","",IF(ABS(D24+E24)=ABS(D24)+ABS(E24),IF(D24&lt;0,-1,1)*(D24-E24)/E24,"Turn"))</f>
        <v>Turn</v>
      </c>
      <c r="E25" s="171" t="str">
        <f t="shared" si="8"/>
        <v>Turn</v>
      </c>
      <c r="F25" s="171">
        <f t="shared" si="8"/>
        <v>-0.32656954596721205</v>
      </c>
      <c r="G25" s="171">
        <f t="shared" si="8"/>
        <v>-0.27314152962606353</v>
      </c>
      <c r="H25" s="171" t="str">
        <f t="shared" si="8"/>
        <v/>
      </c>
      <c r="I25" s="171" t="str">
        <f t="shared" si="8"/>
        <v/>
      </c>
      <c r="J25" s="171" t="str">
        <f t="shared" si="8"/>
        <v/>
      </c>
      <c r="K25" s="171" t="str">
        <f t="shared" si="8"/>
        <v/>
      </c>
      <c r="L25" s="171" t="str">
        <f t="shared" si="8"/>
        <v/>
      </c>
      <c r="M25" s="171" t="str">
        <f t="shared" si="8"/>
        <v/>
      </c>
      <c r="N25" s="90"/>
    </row>
    <row r="26" spans="1:14" ht="15.75" customHeight="1" thickTop="1" x14ac:dyDescent="0.15">
      <c r="A26" s="16"/>
      <c r="B26" s="121" t="s">
        <v>145</v>
      </c>
      <c r="C26" s="48">
        <f>Fin_Analysis!D9</f>
        <v>45381</v>
      </c>
      <c r="D26" s="49">
        <f>D5</f>
        <v>45016</v>
      </c>
      <c r="E26" s="49">
        <f t="shared" ref="E26" si="9">EOMONTH(EDATE(D26,-12),0)</f>
        <v>44651</v>
      </c>
      <c r="F26" s="49">
        <f t="shared" ref="F26" si="10">EOMONTH(EDATE(E26,-12),0)</f>
        <v>44286</v>
      </c>
      <c r="G26" s="49">
        <f t="shared" ref="G26" si="11">EOMONTH(EDATE(F26,-12),0)</f>
        <v>43921</v>
      </c>
      <c r="H26" s="49">
        <f t="shared" ref="H26" si="12">EOMONTH(EDATE(G26,-12),0)</f>
        <v>43555</v>
      </c>
      <c r="I26" s="49">
        <f t="shared" ref="I26" si="13">EOMONTH(EDATE(H26,-12),0)</f>
        <v>43190</v>
      </c>
      <c r="J26" s="49">
        <f t="shared" ref="J26" si="14">EOMONTH(EDATE(I26,-12),0)</f>
        <v>42825</v>
      </c>
      <c r="K26" s="49">
        <f t="shared" ref="K26" si="15">EOMONTH(EDATE(J26,-12),0)</f>
        <v>42460</v>
      </c>
      <c r="L26" s="49">
        <f t="shared" ref="L26" si="16">EOMONTH(EDATE(K26,-12),0)</f>
        <v>42094</v>
      </c>
      <c r="M26" s="49">
        <f t="shared" ref="M26" si="17">EOMONTH(EDATE(L26,-12),0)</f>
        <v>41729</v>
      </c>
      <c r="N26" s="90"/>
    </row>
    <row r="27" spans="1:14" ht="15.75" customHeight="1" x14ac:dyDescent="0.15">
      <c r="A27" s="4"/>
      <c r="B27" s="98" t="s">
        <v>14</v>
      </c>
      <c r="C27" s="66">
        <f t="shared" ref="C27:M27" si="18">IF(C6="","",C36+C31+C32)</f>
        <v>16854064</v>
      </c>
      <c r="D27" s="66">
        <f t="shared" si="18"/>
        <v>14928506</v>
      </c>
      <c r="E27" s="66">
        <f t="shared" si="18"/>
        <v>16220269</v>
      </c>
      <c r="F27" s="66">
        <f t="shared" si="18"/>
        <v>14512039</v>
      </c>
      <c r="G27" s="66">
        <f t="shared" si="18"/>
        <v>0</v>
      </c>
      <c r="H27" s="66">
        <f t="shared" si="18"/>
        <v>0</v>
      </c>
      <c r="I27" s="66" t="str">
        <f t="shared" si="18"/>
        <v/>
      </c>
      <c r="J27" s="66" t="str">
        <f t="shared" si="18"/>
        <v/>
      </c>
      <c r="K27" s="66" t="str">
        <f t="shared" si="18"/>
        <v/>
      </c>
      <c r="L27" s="66" t="str">
        <f t="shared" si="18"/>
        <v/>
      </c>
      <c r="M27" s="66" t="str">
        <f t="shared" si="18"/>
        <v/>
      </c>
      <c r="N27" s="90"/>
    </row>
    <row r="28" spans="1:14" ht="15.75" customHeight="1" x14ac:dyDescent="0.15">
      <c r="A28" s="4"/>
      <c r="B28" s="98" t="s">
        <v>15</v>
      </c>
      <c r="C28" s="66">
        <f>Fin_Analysis!C28</f>
        <v>12332308</v>
      </c>
      <c r="D28" s="165">
        <v>11972903</v>
      </c>
      <c r="E28" s="165">
        <v>13002006</v>
      </c>
      <c r="F28" s="165">
        <v>11732726</v>
      </c>
      <c r="G28" s="165"/>
      <c r="H28" s="165"/>
      <c r="I28" s="165"/>
      <c r="J28" s="165"/>
      <c r="K28" s="165"/>
      <c r="L28" s="165"/>
      <c r="M28" s="165"/>
      <c r="N28" s="90"/>
    </row>
    <row r="29" spans="1:14" ht="15.75" customHeight="1" x14ac:dyDescent="0.15">
      <c r="A29" s="4"/>
      <c r="B29" s="98" t="s">
        <v>121</v>
      </c>
      <c r="C29" s="66">
        <f>Fin_Analysis!C13</f>
        <v>265773</v>
      </c>
      <c r="D29" s="165">
        <v>213823</v>
      </c>
      <c r="E29" s="165">
        <v>187711</v>
      </c>
      <c r="F29" s="165">
        <v>277338</v>
      </c>
      <c r="G29" s="165"/>
      <c r="H29" s="165"/>
      <c r="I29" s="165"/>
      <c r="J29" s="165"/>
      <c r="K29" s="165"/>
      <c r="L29" s="165"/>
      <c r="M29" s="165"/>
      <c r="N29" s="90"/>
    </row>
    <row r="30" spans="1:14" ht="15.75" customHeight="1" x14ac:dyDescent="0.15">
      <c r="A30" s="4"/>
      <c r="B30" s="98" t="s">
        <v>159</v>
      </c>
      <c r="C30" s="66">
        <f>Fin_Analysis!C18</f>
        <v>9672256</v>
      </c>
      <c r="D30" s="165">
        <v>8852611</v>
      </c>
      <c r="E30" s="165">
        <v>8769304</v>
      </c>
      <c r="F30" s="165">
        <v>7321614</v>
      </c>
      <c r="G30" s="165"/>
      <c r="H30" s="165"/>
      <c r="I30" s="165"/>
      <c r="J30" s="165"/>
      <c r="K30" s="165"/>
      <c r="L30" s="165"/>
      <c r="M30" s="165"/>
      <c r="N30" s="90"/>
    </row>
    <row r="31" spans="1:14" ht="15.75" customHeight="1" x14ac:dyDescent="0.15">
      <c r="A31" s="4"/>
      <c r="B31" s="98" t="s">
        <v>16</v>
      </c>
      <c r="C31" s="66">
        <f>Fin_Analysis!I28</f>
        <v>3516809</v>
      </c>
      <c r="D31" s="165">
        <v>2466431</v>
      </c>
      <c r="E31" s="165">
        <v>3908586</v>
      </c>
      <c r="F31" s="165">
        <v>2946772</v>
      </c>
      <c r="G31" s="165"/>
      <c r="H31" s="165"/>
      <c r="I31" s="165"/>
      <c r="J31" s="165"/>
      <c r="K31" s="165"/>
      <c r="L31" s="165"/>
      <c r="M31" s="165"/>
      <c r="N31" s="90"/>
    </row>
    <row r="32" spans="1:14" ht="15.75" customHeight="1" x14ac:dyDescent="0.15">
      <c r="A32" s="4"/>
      <c r="B32" s="98" t="s">
        <v>120</v>
      </c>
      <c r="C32" s="66">
        <f>Fin_Analysis!I48</f>
        <v>473357</v>
      </c>
      <c r="D32" s="165">
        <v>241133</v>
      </c>
      <c r="E32" s="165">
        <v>233155</v>
      </c>
      <c r="F32" s="165">
        <v>241043</v>
      </c>
      <c r="G32" s="165"/>
      <c r="H32" s="165"/>
      <c r="I32" s="165"/>
      <c r="J32" s="165"/>
      <c r="K32" s="165"/>
      <c r="L32" s="165"/>
      <c r="M32" s="165"/>
      <c r="N32" s="90"/>
    </row>
    <row r="33" spans="1:14" ht="15.5" customHeight="1" x14ac:dyDescent="0.15">
      <c r="A33" s="4"/>
      <c r="B33" s="98" t="s">
        <v>17</v>
      </c>
      <c r="C33" s="66">
        <f>Fin_Analysis!I15</f>
        <v>1715502</v>
      </c>
      <c r="D33" s="165">
        <v>35175</v>
      </c>
      <c r="E33" s="165">
        <v>1587989</v>
      </c>
      <c r="F33" s="165">
        <v>1050082</v>
      </c>
      <c r="G33" s="165"/>
      <c r="H33" s="165"/>
      <c r="I33" s="165"/>
      <c r="J33" s="165"/>
      <c r="K33" s="165"/>
      <c r="L33" s="165"/>
      <c r="M33" s="165"/>
      <c r="N33" s="90"/>
    </row>
    <row r="34" spans="1:14" ht="15.75" customHeight="1" x14ac:dyDescent="0.15">
      <c r="A34" s="4"/>
      <c r="B34" s="98" t="s">
        <v>18</v>
      </c>
      <c r="C34" s="66">
        <f>Fin_Analysis!I34</f>
        <v>319420</v>
      </c>
      <c r="D34" s="165">
        <v>67759</v>
      </c>
      <c r="E34" s="165">
        <v>153013</v>
      </c>
      <c r="F34" s="165">
        <v>81854</v>
      </c>
      <c r="G34" s="165"/>
      <c r="H34" s="165"/>
      <c r="I34" s="165"/>
      <c r="J34" s="165"/>
      <c r="K34" s="165"/>
      <c r="L34" s="165"/>
      <c r="M34" s="165"/>
      <c r="N34" s="90"/>
    </row>
    <row r="35" spans="1:14" ht="15.75" customHeight="1" x14ac:dyDescent="0.15">
      <c r="A35" s="4"/>
      <c r="B35" s="98" t="s">
        <v>19</v>
      </c>
      <c r="C35" s="80">
        <f t="shared" ref="C35:M35" si="19">IF(C6="","",C33+C34)</f>
        <v>2034922</v>
      </c>
      <c r="D35" s="80">
        <f t="shared" si="19"/>
        <v>102934</v>
      </c>
      <c r="E35" s="80">
        <f t="shared" si="19"/>
        <v>1741002</v>
      </c>
      <c r="F35" s="80">
        <f t="shared" si="19"/>
        <v>1131936</v>
      </c>
      <c r="G35" s="80">
        <f t="shared" si="19"/>
        <v>0</v>
      </c>
      <c r="H35" s="80">
        <f t="shared" si="19"/>
        <v>0</v>
      </c>
      <c r="I35" s="80" t="str">
        <f t="shared" si="19"/>
        <v/>
      </c>
      <c r="J35" s="80" t="str">
        <f t="shared" si="19"/>
        <v/>
      </c>
      <c r="K35" s="80" t="str">
        <f t="shared" si="19"/>
        <v/>
      </c>
      <c r="L35" s="80" t="str">
        <f t="shared" si="19"/>
        <v/>
      </c>
      <c r="M35" s="80" t="str">
        <f t="shared" si="19"/>
        <v/>
      </c>
      <c r="N35" s="90"/>
    </row>
    <row r="36" spans="1:14" ht="15.75" customHeight="1" x14ac:dyDescent="0.15">
      <c r="A36" s="4"/>
      <c r="B36" s="98" t="s">
        <v>148</v>
      </c>
      <c r="C36" s="66">
        <f>Fin_Analysis!D3</f>
        <v>12863898</v>
      </c>
      <c r="D36" s="165">
        <v>12220942</v>
      </c>
      <c r="E36" s="165">
        <v>12078528</v>
      </c>
      <c r="F36" s="165">
        <v>11324224</v>
      </c>
      <c r="G36" s="165"/>
      <c r="H36" s="165"/>
      <c r="I36" s="165"/>
      <c r="J36" s="165"/>
      <c r="K36" s="165"/>
      <c r="L36" s="165"/>
      <c r="M36" s="165"/>
      <c r="N36" s="90"/>
    </row>
    <row r="37" spans="1:14" ht="15.75" customHeight="1" x14ac:dyDescent="0.15">
      <c r="A37" s="4"/>
      <c r="B37" s="98" t="s">
        <v>149</v>
      </c>
      <c r="C37" s="66">
        <f>Fin_Analysis!D4</f>
        <v>-26962</v>
      </c>
      <c r="D37" s="165">
        <v>-498</v>
      </c>
      <c r="E37" s="165">
        <v>468</v>
      </c>
      <c r="F37" s="165">
        <v>411</v>
      </c>
      <c r="G37" s="165"/>
      <c r="H37" s="165"/>
      <c r="I37" s="165"/>
      <c r="J37" s="165"/>
      <c r="K37" s="165"/>
      <c r="L37" s="165"/>
      <c r="M37" s="165"/>
      <c r="N37" s="90"/>
    </row>
    <row r="38" spans="1:14" ht="15.75" customHeight="1" x14ac:dyDescent="0.15">
      <c r="A38" s="4"/>
      <c r="B38" s="98" t="s">
        <v>147</v>
      </c>
      <c r="C38" s="66">
        <f>Fin_Analysis!C63</f>
        <v>2923945</v>
      </c>
      <c r="D38" s="165">
        <v>3475378</v>
      </c>
      <c r="E38" s="165">
        <v>4499643</v>
      </c>
      <c r="F38" s="165">
        <v>4455433</v>
      </c>
      <c r="G38" s="165"/>
      <c r="H38" s="165"/>
      <c r="I38" s="165"/>
      <c r="J38" s="165"/>
      <c r="K38" s="165"/>
      <c r="L38" s="165"/>
      <c r="M38" s="165"/>
      <c r="N38" s="90"/>
    </row>
    <row r="39" spans="1:14" ht="15.75" customHeight="1" x14ac:dyDescent="0.15">
      <c r="A39" s="4"/>
      <c r="B39" s="98" t="s">
        <v>151</v>
      </c>
      <c r="C39" s="66">
        <f>Fin_Analysis!C68</f>
        <v>13930119</v>
      </c>
      <c r="D39" s="66">
        <f t="shared" ref="D39:M39" si="20">IF(D6="","",D27-D38)</f>
        <v>11453128</v>
      </c>
      <c r="E39" s="66">
        <f t="shared" si="20"/>
        <v>11720626</v>
      </c>
      <c r="F39" s="66">
        <f t="shared" si="20"/>
        <v>10056606</v>
      </c>
      <c r="G39" s="66">
        <f t="shared" si="20"/>
        <v>0</v>
      </c>
      <c r="H39" s="66">
        <f t="shared" si="20"/>
        <v>0</v>
      </c>
      <c r="I39" s="66" t="str">
        <f t="shared" si="20"/>
        <v/>
      </c>
      <c r="J39" s="66" t="str">
        <f t="shared" si="20"/>
        <v/>
      </c>
      <c r="K39" s="66" t="str">
        <f t="shared" si="20"/>
        <v/>
      </c>
      <c r="L39" s="66" t="str">
        <f t="shared" si="20"/>
        <v/>
      </c>
      <c r="M39" s="66" t="str">
        <f t="shared" si="20"/>
        <v/>
      </c>
      <c r="N39" s="90"/>
    </row>
    <row r="40" spans="1:14" ht="15.75" customHeight="1" x14ac:dyDescent="0.15">
      <c r="A40" s="4"/>
      <c r="B40" s="102" t="s">
        <v>169</v>
      </c>
      <c r="C40" s="172">
        <f t="shared" ref="C40:M40" si="21">IF(C6="","",C21/C39)</f>
        <v>6.9687918674635876E-2</v>
      </c>
      <c r="D40" s="172">
        <f t="shared" si="21"/>
        <v>0.10965833962564638</v>
      </c>
      <c r="E40" s="172">
        <f t="shared" si="21"/>
        <v>-8.9683776276113583E-3</v>
      </c>
      <c r="F40" s="172">
        <f t="shared" si="21"/>
        <v>7.6332943075758691E-2</v>
      </c>
      <c r="G40" s="172" t="e">
        <f t="shared" si="21"/>
        <v>#DIV/0!</v>
      </c>
      <c r="H40" s="172" t="e">
        <f t="shared" si="21"/>
        <v>#DIV/0!</v>
      </c>
      <c r="I40" s="172" t="str">
        <f t="shared" si="21"/>
        <v/>
      </c>
      <c r="J40" s="172" t="str">
        <f t="shared" si="21"/>
        <v/>
      </c>
      <c r="K40" s="172" t="str">
        <f t="shared" si="21"/>
        <v/>
      </c>
      <c r="L40" s="172" t="str">
        <f t="shared" si="21"/>
        <v/>
      </c>
      <c r="M40" s="172" t="str">
        <f t="shared" si="21"/>
        <v/>
      </c>
      <c r="N40" s="90"/>
    </row>
    <row r="41" spans="1:14" ht="15.75" customHeight="1" x14ac:dyDescent="0.15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90"/>
    </row>
    <row r="42" spans="1:14" ht="15.75" customHeight="1" x14ac:dyDescent="0.15">
      <c r="A42" s="4"/>
      <c r="B42" s="99" t="s">
        <v>99</v>
      </c>
      <c r="C42" s="173">
        <f t="shared" ref="C42:M42" si="22">IF(C6="","",C8/C6)</f>
        <v>0.72762956087193742</v>
      </c>
      <c r="D42" s="173">
        <f t="shared" si="22"/>
        <v>0.7303022981431383</v>
      </c>
      <c r="E42" s="173">
        <f t="shared" si="22"/>
        <v>0.7244946946204498</v>
      </c>
      <c r="F42" s="173">
        <f t="shared" si="22"/>
        <v>0.70294374380383995</v>
      </c>
      <c r="G42" s="173">
        <f t="shared" si="22"/>
        <v>0.70419372087965826</v>
      </c>
      <c r="H42" s="173">
        <f t="shared" si="22"/>
        <v>0.74565961264792724</v>
      </c>
      <c r="I42" s="173" t="str">
        <f t="shared" si="22"/>
        <v/>
      </c>
      <c r="J42" s="173" t="str">
        <f t="shared" si="22"/>
        <v/>
      </c>
      <c r="K42" s="173" t="str">
        <f t="shared" si="22"/>
        <v/>
      </c>
      <c r="L42" s="173" t="str">
        <f t="shared" si="22"/>
        <v/>
      </c>
      <c r="M42" s="173" t="str">
        <f t="shared" si="22"/>
        <v/>
      </c>
      <c r="N42" s="90"/>
    </row>
    <row r="43" spans="1:14" ht="15.75" customHeight="1" x14ac:dyDescent="0.15">
      <c r="A43" s="4"/>
      <c r="B43" s="98" t="s">
        <v>126</v>
      </c>
      <c r="C43" s="169">
        <f t="shared" ref="C43:M43" si="23">IF(C6="","",(C10-C12)/C6)</f>
        <v>0.12012374818624762</v>
      </c>
      <c r="D43" s="169">
        <f t="shared" si="23"/>
        <v>0.12475734364214461</v>
      </c>
      <c r="E43" s="169">
        <f t="shared" si="23"/>
        <v>0.1546380527940365</v>
      </c>
      <c r="F43" s="169">
        <f t="shared" si="23"/>
        <v>0.19122175157580659</v>
      </c>
      <c r="G43" s="169">
        <f t="shared" si="23"/>
        <v>0.18856108069142588</v>
      </c>
      <c r="H43" s="169">
        <f t="shared" si="23"/>
        <v>0.15238149582692045</v>
      </c>
      <c r="I43" s="169" t="str">
        <f t="shared" si="23"/>
        <v/>
      </c>
      <c r="J43" s="169" t="str">
        <f t="shared" si="23"/>
        <v/>
      </c>
      <c r="K43" s="169" t="str">
        <f t="shared" si="23"/>
        <v/>
      </c>
      <c r="L43" s="169" t="str">
        <f t="shared" si="23"/>
        <v/>
      </c>
      <c r="M43" s="169" t="str">
        <f t="shared" si="23"/>
        <v/>
      </c>
      <c r="N43" s="90"/>
    </row>
    <row r="44" spans="1:14" ht="15.75" customHeight="1" x14ac:dyDescent="0.15">
      <c r="A44" s="4"/>
      <c r="B44" s="98" t="s">
        <v>101</v>
      </c>
      <c r="C44" s="169">
        <f t="shared" ref="C44:M44" si="24">IF(C6="","",(C14+MAX(C15,0))/C6)</f>
        <v>4.413341231043115E-2</v>
      </c>
      <c r="D44" s="169">
        <f t="shared" si="24"/>
        <v>8.9565367523571013E-3</v>
      </c>
      <c r="E44" s="169">
        <f t="shared" si="24"/>
        <v>3.8804791663312119E-2</v>
      </c>
      <c r="F44" s="169">
        <f t="shared" si="24"/>
        <v>1.5679014505150749E-2</v>
      </c>
      <c r="G44" s="169">
        <f t="shared" si="24"/>
        <v>0</v>
      </c>
      <c r="H44" s="169">
        <f t="shared" si="24"/>
        <v>0</v>
      </c>
      <c r="I44" s="169" t="str">
        <f t="shared" si="24"/>
        <v/>
      </c>
      <c r="J44" s="169" t="str">
        <f t="shared" si="24"/>
        <v/>
      </c>
      <c r="K44" s="169" t="str">
        <f t="shared" si="24"/>
        <v/>
      </c>
      <c r="L44" s="169" t="str">
        <f t="shared" si="24"/>
        <v/>
      </c>
      <c r="M44" s="169" t="str">
        <f t="shared" si="24"/>
        <v/>
      </c>
      <c r="N44" s="90"/>
    </row>
    <row r="45" spans="1:14" ht="15.75" customHeight="1" x14ac:dyDescent="0.15">
      <c r="A45" s="4"/>
      <c r="B45" s="98" t="s">
        <v>112</v>
      </c>
      <c r="C45" s="169">
        <f t="shared" ref="C45:M45" si="25">IF(C6="","",MAX(C16,0)/C6)</f>
        <v>4.0883763120383568E-2</v>
      </c>
      <c r="D45" s="169">
        <f t="shared" si="25"/>
        <v>2.9395857885609465E-2</v>
      </c>
      <c r="E45" s="169">
        <f t="shared" si="25"/>
        <v>8.9049969572670459E-2</v>
      </c>
      <c r="F45" s="169">
        <f t="shared" si="25"/>
        <v>0</v>
      </c>
      <c r="G45" s="169">
        <f t="shared" si="25"/>
        <v>0</v>
      </c>
      <c r="H45" s="169">
        <f t="shared" si="25"/>
        <v>0</v>
      </c>
      <c r="I45" s="169" t="str">
        <f t="shared" si="25"/>
        <v/>
      </c>
      <c r="J45" s="169" t="str">
        <f t="shared" si="25"/>
        <v/>
      </c>
      <c r="K45" s="169" t="str">
        <f t="shared" si="25"/>
        <v/>
      </c>
      <c r="L45" s="169" t="str">
        <f t="shared" si="25"/>
        <v/>
      </c>
      <c r="M45" s="169" t="str">
        <f t="shared" si="25"/>
        <v/>
      </c>
      <c r="N45" s="90"/>
    </row>
    <row r="46" spans="1:14" ht="15.75" customHeight="1" x14ac:dyDescent="0.15">
      <c r="A46" s="4"/>
      <c r="B46" s="98" t="s">
        <v>127</v>
      </c>
      <c r="C46" s="169">
        <f t="shared" ref="C46:M46" si="26">IF(C6="","",C17/C6)</f>
        <v>3.8885650375487034E-3</v>
      </c>
      <c r="D46" s="169">
        <f t="shared" si="26"/>
        <v>1.7334505274905901E-3</v>
      </c>
      <c r="E46" s="169">
        <f t="shared" si="26"/>
        <v>1.9677447304235723E-3</v>
      </c>
      <c r="F46" s="169">
        <f t="shared" si="26"/>
        <v>3.2556042627888463E-3</v>
      </c>
      <c r="G46" s="169">
        <f t="shared" si="26"/>
        <v>5.6147664039083583E-3</v>
      </c>
      <c r="H46" s="169">
        <f t="shared" si="26"/>
        <v>2.1597113239037349E-3</v>
      </c>
      <c r="I46" s="169" t="str">
        <f t="shared" si="26"/>
        <v/>
      </c>
      <c r="J46" s="169" t="str">
        <f t="shared" si="26"/>
        <v/>
      </c>
      <c r="K46" s="169" t="str">
        <f t="shared" si="26"/>
        <v/>
      </c>
      <c r="L46" s="169" t="str">
        <f t="shared" si="26"/>
        <v/>
      </c>
      <c r="M46" s="169" t="str">
        <f t="shared" si="26"/>
        <v/>
      </c>
      <c r="N46" s="90"/>
    </row>
    <row r="47" spans="1:14" ht="15.75" customHeight="1" x14ac:dyDescent="0.15">
      <c r="A47" s="4"/>
      <c r="B47" s="98" t="s">
        <v>139</v>
      </c>
      <c r="C47" s="169">
        <f>IF(C6="","",MAX(C18,0)/(1-Fin_Analysis!$I$84)/C6)</f>
        <v>0</v>
      </c>
      <c r="D47" s="169">
        <f>IF(D6="","",MAX(D18,0)/(1-Fin_Analysis!$I$84)/D6)</f>
        <v>0</v>
      </c>
      <c r="E47" s="169">
        <f>IF(E6="","",MAX(E18,0)/(1-Fin_Analysis!$I$84)/E6)</f>
        <v>0</v>
      </c>
      <c r="F47" s="169">
        <f>IF(F6="","",MAX(F18,0)/(1-Fin_Analysis!$I$84)/F6)</f>
        <v>2.7068908541056925E-4</v>
      </c>
      <c r="G47" s="169">
        <f>IF(G6="","",MAX(G18,0)/(1-Fin_Analysis!$I$84)/G6)</f>
        <v>1.5868817930031392E-4</v>
      </c>
      <c r="H47" s="169">
        <f>IF(H6="","",MAX(H18,0)/(1-Fin_Analysis!$I$84)/H6)</f>
        <v>9.1702453784649294E-4</v>
      </c>
      <c r="I47" s="169" t="str">
        <f>IF(I6="","",MAX(I18,0)/(1-Fin_Analysis!$I$84)/I6)</f>
        <v/>
      </c>
      <c r="J47" s="169" t="str">
        <f>IF(J6="","",MAX(J18,0)/(1-Fin_Analysis!$I$84)/J6)</f>
        <v/>
      </c>
      <c r="K47" s="169" t="str">
        <f>IF(K6="","",MAX(K18,0)/(1-Fin_Analysis!$I$84)/K6)</f>
        <v/>
      </c>
      <c r="L47" s="169" t="str">
        <f>IF(L6="","",MAX(L18,0)/(1-Fin_Analysis!$I$84)/L6)</f>
        <v/>
      </c>
      <c r="M47" s="169" t="str">
        <f>IF(M6="","",MAX(M18,0)/(1-Fin_Analysis!$I$84)/M6)</f>
        <v/>
      </c>
      <c r="N47" s="90"/>
    </row>
    <row r="48" spans="1:14" ht="15.75" customHeight="1" x14ac:dyDescent="0.15">
      <c r="A48" s="4"/>
      <c r="B48" s="98" t="s">
        <v>130</v>
      </c>
      <c r="C48" s="169">
        <f t="shared" ref="C48:M48" si="27">IF(C6="","",C21/C6)</f>
        <v>6.3340950473451521E-2</v>
      </c>
      <c r="D48" s="169">
        <f t="shared" si="27"/>
        <v>0.10485451304925995</v>
      </c>
      <c r="E48" s="169">
        <f t="shared" si="27"/>
        <v>-8.9552533808924892E-3</v>
      </c>
      <c r="F48" s="169">
        <f t="shared" si="27"/>
        <v>8.6629196767003327E-2</v>
      </c>
      <c r="G48" s="169">
        <f t="shared" si="27"/>
        <v>0.10147174384570713</v>
      </c>
      <c r="H48" s="169">
        <f t="shared" si="27"/>
        <v>9.8882155663402055E-2</v>
      </c>
      <c r="I48" s="169" t="str">
        <f t="shared" si="27"/>
        <v/>
      </c>
      <c r="J48" s="169" t="str">
        <f t="shared" si="27"/>
        <v/>
      </c>
      <c r="K48" s="169" t="str">
        <f t="shared" si="27"/>
        <v/>
      </c>
      <c r="L48" s="169" t="str">
        <f t="shared" si="27"/>
        <v/>
      </c>
      <c r="M48" s="169" t="str">
        <f t="shared" si="27"/>
        <v/>
      </c>
      <c r="N48" s="90"/>
    </row>
    <row r="49" spans="1:14" ht="15.75" customHeight="1" x14ac:dyDescent="0.15">
      <c r="A49" s="16"/>
      <c r="B49" s="107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90"/>
    </row>
    <row r="50" spans="1:14" ht="15.75" customHeight="1" x14ac:dyDescent="0.15">
      <c r="A50" s="4"/>
      <c r="B50" s="99" t="s">
        <v>157</v>
      </c>
      <c r="C50" s="173">
        <f t="shared" ref="C50:M50" si="28">IF(C6="","",C29/C6)</f>
        <v>1.7341358408692387E-2</v>
      </c>
      <c r="D50" s="173">
        <f t="shared" si="28"/>
        <v>1.7851543232655226E-2</v>
      </c>
      <c r="E50" s="173">
        <f t="shared" si="28"/>
        <v>1.5992004636642819E-2</v>
      </c>
      <c r="F50" s="173">
        <f t="shared" si="28"/>
        <v>3.1297541510393184E-2</v>
      </c>
      <c r="G50" s="173">
        <f t="shared" si="28"/>
        <v>0</v>
      </c>
      <c r="H50" s="173">
        <f t="shared" si="28"/>
        <v>0</v>
      </c>
      <c r="I50" s="173" t="str">
        <f t="shared" si="28"/>
        <v/>
      </c>
      <c r="J50" s="173" t="str">
        <f t="shared" si="28"/>
        <v/>
      </c>
      <c r="K50" s="173" t="str">
        <f t="shared" si="28"/>
        <v/>
      </c>
      <c r="L50" s="173" t="str">
        <f t="shared" si="28"/>
        <v/>
      </c>
      <c r="M50" s="173" t="str">
        <f t="shared" si="28"/>
        <v/>
      </c>
      <c r="N50" s="90"/>
    </row>
    <row r="51" spans="1:14" ht="15.75" customHeight="1" x14ac:dyDescent="0.15">
      <c r="A51" s="4"/>
      <c r="B51" s="98" t="s">
        <v>158</v>
      </c>
      <c r="C51" s="169">
        <f t="shared" ref="C51:M51" si="29">IF(C6="","",C30/C6)</f>
        <v>0.63110270011109249</v>
      </c>
      <c r="D51" s="169">
        <f t="shared" si="29"/>
        <v>0.73908217538982812</v>
      </c>
      <c r="E51" s="169">
        <f t="shared" si="29"/>
        <v>0.74709926550990846</v>
      </c>
      <c r="F51" s="169">
        <f t="shared" si="29"/>
        <v>0.82624277267477186</v>
      </c>
      <c r="G51" s="169">
        <f t="shared" si="29"/>
        <v>0</v>
      </c>
      <c r="H51" s="169">
        <f t="shared" si="29"/>
        <v>0</v>
      </c>
      <c r="I51" s="169" t="str">
        <f t="shared" si="29"/>
        <v/>
      </c>
      <c r="J51" s="169" t="str">
        <f t="shared" si="29"/>
        <v/>
      </c>
      <c r="K51" s="169" t="str">
        <f t="shared" si="29"/>
        <v/>
      </c>
      <c r="L51" s="169" t="str">
        <f t="shared" si="29"/>
        <v/>
      </c>
      <c r="M51" s="169" t="str">
        <f t="shared" si="29"/>
        <v/>
      </c>
      <c r="N51" s="90"/>
    </row>
    <row r="52" spans="1:14" ht="15.75" customHeight="1" x14ac:dyDescent="0.15">
      <c r="A52" s="16"/>
      <c r="B52" s="107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15">
      <c r="A53" s="4"/>
      <c r="B53" s="99" t="s">
        <v>20</v>
      </c>
      <c r="C53" s="173">
        <f>IF(C36="","",(C27-C36)/C27)</f>
        <v>0.23674800333023538</v>
      </c>
      <c r="D53" s="173">
        <f t="shared" ref="D53:M53" si="30">IF(D36="","",(D27-D36)/D27)</f>
        <v>0.1813687183432823</v>
      </c>
      <c r="E53" s="173">
        <f t="shared" si="30"/>
        <v>0.2553435457821322</v>
      </c>
      <c r="F53" s="173">
        <f t="shared" si="30"/>
        <v>0.21966692619831024</v>
      </c>
      <c r="G53" s="173" t="str">
        <f t="shared" si="30"/>
        <v/>
      </c>
      <c r="H53" s="173" t="str">
        <f t="shared" si="30"/>
        <v/>
      </c>
      <c r="I53" s="173" t="str">
        <f t="shared" si="30"/>
        <v/>
      </c>
      <c r="J53" s="173" t="str">
        <f t="shared" si="30"/>
        <v/>
      </c>
      <c r="K53" s="173" t="str">
        <f t="shared" si="30"/>
        <v/>
      </c>
      <c r="L53" s="173" t="str">
        <f t="shared" si="30"/>
        <v/>
      </c>
      <c r="M53" s="173" t="str">
        <f t="shared" si="30"/>
        <v/>
      </c>
    </row>
    <row r="54" spans="1:14" ht="15.75" customHeight="1" x14ac:dyDescent="0.15">
      <c r="A54" s="4"/>
      <c r="B54" s="98" t="s">
        <v>125</v>
      </c>
      <c r="C54" s="174">
        <f t="shared" ref="C54:M54" si="31">IF(C21="","",IF(C35&lt;=0,"-",C21/C35))</f>
        <v>0.4770507174230757</v>
      </c>
      <c r="D54" s="174">
        <f t="shared" si="31"/>
        <v>12.201323177958692</v>
      </c>
      <c r="E54" s="174">
        <f t="shared" si="31"/>
        <v>-6.0376151204880865E-2</v>
      </c>
      <c r="F54" s="174">
        <f t="shared" si="31"/>
        <v>0.67817467889821803</v>
      </c>
      <c r="G54" s="174" t="str">
        <f t="shared" si="31"/>
        <v>-</v>
      </c>
      <c r="H54" s="174" t="str">
        <f t="shared" si="31"/>
        <v>-</v>
      </c>
      <c r="I54" s="174" t="str">
        <f t="shared" si="31"/>
        <v/>
      </c>
      <c r="J54" s="174" t="str">
        <f t="shared" si="31"/>
        <v/>
      </c>
      <c r="K54" s="174" t="str">
        <f t="shared" si="31"/>
        <v/>
      </c>
      <c r="L54" s="174" t="str">
        <f t="shared" si="31"/>
        <v/>
      </c>
      <c r="M54" s="174" t="str">
        <f t="shared" si="31"/>
        <v/>
      </c>
    </row>
    <row r="55" spans="1:14" ht="15.75" customHeight="1" x14ac:dyDescent="0.15">
      <c r="A55" s="4"/>
      <c r="B55" s="98" t="s">
        <v>128</v>
      </c>
      <c r="C55" s="169">
        <f t="shared" ref="C55:M55" si="32">IF(C21="","",IF(C17&lt;=0,"-",C17/C21))</f>
        <v>6.1391011793840093E-2</v>
      </c>
      <c r="D55" s="169">
        <f t="shared" si="32"/>
        <v>1.6531959160176794E-2</v>
      </c>
      <c r="E55" s="169">
        <f t="shared" si="32"/>
        <v>-0.21973077106026734</v>
      </c>
      <c r="F55" s="169">
        <f t="shared" si="32"/>
        <v>3.7580912490105083E-2</v>
      </c>
      <c r="G55" s="169">
        <f t="shared" si="32"/>
        <v>5.5333299607483753E-2</v>
      </c>
      <c r="H55" s="169">
        <f t="shared" si="32"/>
        <v>2.1841264578165751E-2</v>
      </c>
      <c r="I55" s="169" t="str">
        <f t="shared" si="32"/>
        <v/>
      </c>
      <c r="J55" s="169" t="str">
        <f t="shared" si="32"/>
        <v/>
      </c>
      <c r="K55" s="169" t="str">
        <f t="shared" si="32"/>
        <v/>
      </c>
      <c r="L55" s="169" t="str">
        <f t="shared" si="32"/>
        <v/>
      </c>
      <c r="M55" s="169" t="str">
        <f t="shared" si="32"/>
        <v/>
      </c>
    </row>
    <row r="56" spans="1:14" ht="15.75" customHeight="1" x14ac:dyDescent="0.15">
      <c r="A56" s="4"/>
      <c r="B56" s="102" t="s">
        <v>21</v>
      </c>
      <c r="C56" s="175">
        <f t="shared" ref="C56:M56" si="33">IF(C28="","",C28/C31)</f>
        <v>3.5066755118062995</v>
      </c>
      <c r="D56" s="175">
        <f t="shared" si="33"/>
        <v>4.8543433811852026</v>
      </c>
      <c r="E56" s="175">
        <f t="shared" si="33"/>
        <v>3.3265242212912804</v>
      </c>
      <c r="F56" s="175">
        <f t="shared" si="33"/>
        <v>3.9815520169188523</v>
      </c>
      <c r="G56" s="175" t="str">
        <f t="shared" si="33"/>
        <v/>
      </c>
      <c r="H56" s="175" t="str">
        <f t="shared" si="33"/>
        <v/>
      </c>
      <c r="I56" s="175" t="str">
        <f t="shared" si="33"/>
        <v/>
      </c>
      <c r="J56" s="175" t="str">
        <f t="shared" si="33"/>
        <v/>
      </c>
      <c r="K56" s="175" t="str">
        <f t="shared" si="33"/>
        <v/>
      </c>
      <c r="L56" s="175" t="str">
        <f t="shared" si="33"/>
        <v/>
      </c>
      <c r="M56" s="175" t="str">
        <f t="shared" si="33"/>
        <v/>
      </c>
    </row>
    <row r="57" spans="1:14" ht="15.75" customHeight="1" x14ac:dyDescent="0.15"/>
    <row r="58" spans="1:14" ht="15.75" customHeight="1" x14ac:dyDescent="0.15">
      <c r="A58" s="4"/>
    </row>
    <row r="59" spans="1:14" ht="15.75" customHeight="1" x14ac:dyDescent="0.15">
      <c r="A59" s="4"/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>
      <c r="A246" s="4"/>
    </row>
    <row r="247" spans="1:1" ht="15.75" customHeight="1" x14ac:dyDescent="0.15">
      <c r="A247" s="4"/>
    </row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abSelected="1" topLeftCell="A63" zoomScaleNormal="100" workbookViewId="0">
      <selection activeCell="F91" sqref="F91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22</v>
      </c>
      <c r="C2" s="45"/>
      <c r="D2" s="65"/>
      <c r="E2" s="90"/>
      <c r="F2" s="7"/>
      <c r="G2" s="7"/>
      <c r="H2" s="7"/>
      <c r="I2" s="90"/>
      <c r="K2" s="50" t="s">
        <v>8</v>
      </c>
    </row>
    <row r="3" spans="1:11" ht="15" customHeight="1" x14ac:dyDescent="0.15">
      <c r="B3" s="3" t="s">
        <v>23</v>
      </c>
      <c r="C3" s="90"/>
      <c r="D3" s="123">
        <f>C49-I49</f>
        <v>12863898</v>
      </c>
      <c r="E3" s="70" t="str">
        <f>IF((C49-I49)=D3,"", "Error!")</f>
        <v/>
      </c>
      <c r="F3" s="90"/>
      <c r="G3" s="90"/>
      <c r="H3" s="47" t="s">
        <v>24</v>
      </c>
      <c r="I3" s="57">
        <v>12890860</v>
      </c>
      <c r="K3" s="24"/>
    </row>
    <row r="4" spans="1:11" ht="15" customHeight="1" x14ac:dyDescent="0.15">
      <c r="B4" s="3" t="s">
        <v>25</v>
      </c>
      <c r="C4" s="90"/>
      <c r="D4" s="66">
        <f>D3-I3</f>
        <v>-26962</v>
      </c>
      <c r="E4" s="37"/>
      <c r="F4" s="90"/>
      <c r="G4" s="90"/>
      <c r="H4" s="21"/>
      <c r="I4" s="54"/>
      <c r="K4" s="24"/>
    </row>
    <row r="5" spans="1:11" ht="15" customHeight="1" x14ac:dyDescent="0.15">
      <c r="C5" s="90"/>
      <c r="D5" s="90"/>
      <c r="E5" s="11" t="s">
        <v>26</v>
      </c>
      <c r="H5" s="1" t="s">
        <v>28</v>
      </c>
      <c r="I5" s="64">
        <f>C28/I28</f>
        <v>3.5066755118062995</v>
      </c>
      <c r="K5" s="24"/>
    </row>
    <row r="6" spans="1:11" ht="15" customHeight="1" thickBot="1" x14ac:dyDescent="0.2">
      <c r="B6" s="20" t="s">
        <v>27</v>
      </c>
      <c r="C6" s="90"/>
      <c r="D6" s="72">
        <f>(E49-I49-E53)*Exchange_Rate</f>
        <v>3732661.2</v>
      </c>
      <c r="E6" s="56">
        <f>1-D6/D3</f>
        <v>0.70983435969408337</v>
      </c>
      <c r="F6" s="90"/>
      <c r="G6" s="90"/>
      <c r="H6" s="1" t="s">
        <v>30</v>
      </c>
      <c r="I6" s="64">
        <f>(C24+C25)/I28</f>
        <v>0.74800394334750619</v>
      </c>
      <c r="J6" s="90"/>
      <c r="K6" s="24"/>
    </row>
    <row r="7" spans="1:11" ht="15" customHeight="1" thickTop="1" x14ac:dyDescent="0.15">
      <c r="B7" s="19" t="s">
        <v>29</v>
      </c>
      <c r="C7" s="90"/>
      <c r="D7" s="67">
        <f>MAX((D6*Exchange_Rate*Data!C4)/Common_Shares, 0)</f>
        <v>6.3577095758470952</v>
      </c>
      <c r="E7" s="11" t="str">
        <f>Dashboard!H3</f>
        <v>HKD</v>
      </c>
      <c r="H7" s="1" t="s">
        <v>31</v>
      </c>
      <c r="I7" s="64">
        <f>C24/I28</f>
        <v>0.64376313868623514</v>
      </c>
      <c r="J7" s="90"/>
      <c r="K7" s="33"/>
    </row>
    <row r="8" spans="1:11" ht="15" customHeight="1" x14ac:dyDescent="0.15">
      <c r="C8" s="90"/>
      <c r="D8" s="90"/>
      <c r="E8" s="90"/>
      <c r="K8" s="24"/>
    </row>
    <row r="9" spans="1:11" ht="15" customHeight="1" x14ac:dyDescent="0.2">
      <c r="A9" s="2"/>
      <c r="B9" s="46" t="s">
        <v>32</v>
      </c>
      <c r="C9" s="89"/>
      <c r="D9" s="68">
        <v>45381</v>
      </c>
      <c r="E9" s="126" t="str">
        <f>IF(MONTH(D9)=MONTH(Data!C3),"FY","Quarter")</f>
        <v>FY</v>
      </c>
      <c r="F9" s="89"/>
      <c r="G9" s="89"/>
      <c r="H9" s="89"/>
      <c r="I9" s="89"/>
      <c r="K9" s="24"/>
    </row>
    <row r="10" spans="1:11" ht="15" customHeight="1" x14ac:dyDescent="0.15">
      <c r="B10" s="3" t="s">
        <v>33</v>
      </c>
      <c r="C10" s="77" t="s">
        <v>34</v>
      </c>
      <c r="D10" s="77" t="s">
        <v>213</v>
      </c>
      <c r="E10" s="77" t="s">
        <v>35</v>
      </c>
      <c r="F10" s="116" t="s">
        <v>36</v>
      </c>
      <c r="G10" s="90"/>
      <c r="H10" s="22" t="s">
        <v>37</v>
      </c>
      <c r="I10" s="77" t="s">
        <v>34</v>
      </c>
      <c r="K10" s="24"/>
    </row>
    <row r="11" spans="1:11" ht="15" customHeight="1" x14ac:dyDescent="0.15">
      <c r="B11" s="3" t="s">
        <v>38</v>
      </c>
      <c r="C11" s="60">
        <v>1998219</v>
      </c>
      <c r="D11" s="61">
        <v>1</v>
      </c>
      <c r="E11" s="91">
        <f t="shared" ref="E11:E21" si="0">C11*D11</f>
        <v>1998219</v>
      </c>
      <c r="F11" s="117"/>
      <c r="G11" s="90"/>
      <c r="H11" s="3" t="s">
        <v>39</v>
      </c>
      <c r="I11" s="60">
        <f>362000+1065805</f>
        <v>1427805</v>
      </c>
      <c r="J11" s="90"/>
      <c r="K11" s="24"/>
    </row>
    <row r="12" spans="1:11" ht="14" x14ac:dyDescent="0.15">
      <c r="B12" s="1" t="s">
        <v>146</v>
      </c>
      <c r="C12" s="60"/>
      <c r="D12" s="61">
        <v>0.95</v>
      </c>
      <c r="E12" s="91">
        <f t="shared" si="0"/>
        <v>0</v>
      </c>
      <c r="F12" s="117"/>
      <c r="G12" s="90"/>
      <c r="H12" s="3" t="s">
        <v>40</v>
      </c>
      <c r="I12" s="60">
        <v>287697</v>
      </c>
      <c r="J12" s="90"/>
      <c r="K12" s="24"/>
    </row>
    <row r="13" spans="1:11" ht="14" x14ac:dyDescent="0.15">
      <c r="B13" s="3" t="s">
        <v>121</v>
      </c>
      <c r="C13" s="60">
        <v>265773</v>
      </c>
      <c r="D13" s="61">
        <v>0.8</v>
      </c>
      <c r="E13" s="91">
        <f t="shared" si="0"/>
        <v>212618.40000000002</v>
      </c>
      <c r="F13" s="117"/>
      <c r="G13" s="90"/>
      <c r="H13" s="3" t="s">
        <v>41</v>
      </c>
      <c r="I13" s="60"/>
      <c r="J13" s="90"/>
      <c r="K13" s="26"/>
    </row>
    <row r="14" spans="1:11" ht="14" x14ac:dyDescent="0.15">
      <c r="B14" s="3" t="s">
        <v>42</v>
      </c>
      <c r="C14" s="60"/>
      <c r="D14" s="61">
        <v>0.3</v>
      </c>
      <c r="E14" s="91">
        <f>C14*D14</f>
        <v>0</v>
      </c>
      <c r="F14" s="117"/>
      <c r="G14" s="90"/>
      <c r="H14" s="89" t="s">
        <v>43</v>
      </c>
      <c r="I14" s="127"/>
      <c r="J14" s="90"/>
      <c r="K14" s="27"/>
    </row>
    <row r="15" spans="1:11" ht="14" x14ac:dyDescent="0.15">
      <c r="B15" s="3" t="s">
        <v>44</v>
      </c>
      <c r="C15" s="60"/>
      <c r="D15" s="61">
        <v>0.05</v>
      </c>
      <c r="E15" s="91">
        <f>C15*D15</f>
        <v>0</v>
      </c>
      <c r="F15" s="117"/>
      <c r="G15" s="90"/>
      <c r="H15" s="1" t="s">
        <v>54</v>
      </c>
      <c r="I15" s="87">
        <f>SUM(I11:I14)</f>
        <v>1715502</v>
      </c>
      <c r="J15" s="90"/>
    </row>
    <row r="16" spans="1:11" ht="14" x14ac:dyDescent="0.15">
      <c r="B16" s="1" t="s">
        <v>170</v>
      </c>
      <c r="C16" s="60"/>
      <c r="D16" s="61">
        <v>0.5</v>
      </c>
      <c r="E16" s="91">
        <f t="shared" si="0"/>
        <v>0</v>
      </c>
      <c r="F16" s="117"/>
      <c r="G16" s="30"/>
      <c r="H16" s="3"/>
      <c r="I16" s="40"/>
      <c r="J16" s="90"/>
    </row>
    <row r="17" spans="2:10" ht="14" x14ac:dyDescent="0.15">
      <c r="B17" s="3" t="s">
        <v>122</v>
      </c>
      <c r="C17" s="60">
        <v>366595</v>
      </c>
      <c r="D17" s="61">
        <v>0.1</v>
      </c>
      <c r="E17" s="91">
        <f t="shared" si="0"/>
        <v>36659.5</v>
      </c>
      <c r="F17" s="117"/>
      <c r="G17" s="90"/>
      <c r="H17" s="3"/>
      <c r="I17" s="40"/>
      <c r="J17" s="90"/>
    </row>
    <row r="18" spans="2:10" ht="14" x14ac:dyDescent="0.15">
      <c r="B18" s="3" t="s">
        <v>47</v>
      </c>
      <c r="C18" s="60">
        <v>9672256</v>
      </c>
      <c r="D18" s="61">
        <v>0.5</v>
      </c>
      <c r="E18" s="91">
        <f t="shared" si="0"/>
        <v>4836128</v>
      </c>
      <c r="F18" s="117"/>
      <c r="G18" s="90"/>
      <c r="H18" s="90"/>
      <c r="I18" s="90"/>
    </row>
    <row r="19" spans="2:10" ht="14" x14ac:dyDescent="0.15">
      <c r="B19" s="1" t="s">
        <v>48</v>
      </c>
      <c r="C19" s="60"/>
      <c r="D19" s="61">
        <v>0.75</v>
      </c>
      <c r="E19" s="91">
        <f t="shared" si="0"/>
        <v>0</v>
      </c>
      <c r="F19" s="118" t="s">
        <v>46</v>
      </c>
      <c r="G19" s="30">
        <f>IF(F19="Y",0,1)</f>
        <v>0</v>
      </c>
    </row>
    <row r="20" spans="2:10" ht="14" x14ac:dyDescent="0.15">
      <c r="B20" s="3" t="s">
        <v>124</v>
      </c>
      <c r="C20" s="60"/>
      <c r="D20" s="61">
        <v>0.6</v>
      </c>
      <c r="E20" s="91">
        <f t="shared" si="0"/>
        <v>0</v>
      </c>
      <c r="F20" s="118" t="s">
        <v>46</v>
      </c>
      <c r="G20" s="30">
        <f>IF(F20="Y",0,1)</f>
        <v>0</v>
      </c>
      <c r="H20" s="3"/>
      <c r="I20" s="40"/>
    </row>
    <row r="21" spans="2:10" ht="14" x14ac:dyDescent="0.15">
      <c r="B21" s="3" t="s">
        <v>50</v>
      </c>
      <c r="C21" s="60">
        <v>29465</v>
      </c>
      <c r="D21" s="61">
        <v>0.95</v>
      </c>
      <c r="E21" s="91">
        <f t="shared" si="0"/>
        <v>27991.75</v>
      </c>
      <c r="F21" s="117"/>
      <c r="G21" s="90"/>
      <c r="H21" s="3"/>
      <c r="I21" s="40"/>
    </row>
    <row r="22" spans="2:10" ht="15" customHeight="1" x14ac:dyDescent="0.15">
      <c r="B22" s="3" t="s">
        <v>51</v>
      </c>
      <c r="C22" s="60"/>
      <c r="D22" s="61">
        <v>0.2</v>
      </c>
      <c r="E22" s="91">
        <f t="shared" ref="E22" si="1">C22*D22</f>
        <v>0</v>
      </c>
      <c r="F22" s="117"/>
      <c r="G22" s="90"/>
      <c r="H22" s="3" t="s">
        <v>45</v>
      </c>
      <c r="I22" s="52">
        <f>I28-SUM(I11:I14)</f>
        <v>1801307</v>
      </c>
    </row>
    <row r="23" spans="2:10" ht="15" customHeight="1" x14ac:dyDescent="0.15">
      <c r="C23" s="90"/>
      <c r="D23" s="90"/>
      <c r="E23" s="90"/>
      <c r="F23" s="116" t="s">
        <v>52</v>
      </c>
      <c r="G23" s="90"/>
    </row>
    <row r="24" spans="2:10" ht="15" customHeight="1" x14ac:dyDescent="0.15">
      <c r="B24" s="23" t="s">
        <v>53</v>
      </c>
      <c r="C24" s="62">
        <f>SUM(C11:C14)</f>
        <v>2263992</v>
      </c>
      <c r="D24" s="63">
        <f>IF(E24=0,0,E24/C24)</f>
        <v>0.97652173682592514</v>
      </c>
      <c r="E24" s="91">
        <f>SUM(E11:E14)</f>
        <v>2210837.4</v>
      </c>
      <c r="F24" s="119">
        <f>E24/$E$28</f>
        <v>0.31087690869838996</v>
      </c>
      <c r="G24" s="90"/>
    </row>
    <row r="25" spans="2:10" ht="15" customHeight="1" x14ac:dyDescent="0.15">
      <c r="B25" s="23" t="s">
        <v>55</v>
      </c>
      <c r="C25" s="62">
        <f>SUM(C15:C17)</f>
        <v>366595</v>
      </c>
      <c r="D25" s="63">
        <f>IF(E25=0,0,E25/C25)</f>
        <v>0.1</v>
      </c>
      <c r="E25" s="91">
        <f>SUM(E15:E17)</f>
        <v>36659.5</v>
      </c>
      <c r="F25" s="119">
        <f t="shared" ref="F25:F27" si="2">E25/$E$28</f>
        <v>5.1548757201360113E-3</v>
      </c>
      <c r="G25" s="90"/>
      <c r="H25" s="23" t="s">
        <v>56</v>
      </c>
      <c r="I25" s="64">
        <f>E28/I28</f>
        <v>2.0221788132366587</v>
      </c>
    </row>
    <row r="26" spans="2:10" ht="15" customHeight="1" x14ac:dyDescent="0.15">
      <c r="B26" s="23" t="s">
        <v>57</v>
      </c>
      <c r="C26" s="62">
        <f>C18+C19+C20</f>
        <v>9672256</v>
      </c>
      <c r="D26" s="63">
        <f t="shared" ref="D26:D27" si="3">IF(E26=0,0,E26/C26)</f>
        <v>0.5</v>
      </c>
      <c r="E26" s="91">
        <f>E18+E19+E20</f>
        <v>4836128</v>
      </c>
      <c r="F26" s="119">
        <f t="shared" si="2"/>
        <v>0.68003215555776619</v>
      </c>
      <c r="G26" s="90"/>
      <c r="H26" s="23" t="s">
        <v>58</v>
      </c>
      <c r="I26" s="64">
        <f>E24/($I$28-I22)</f>
        <v>1.2887407884106226</v>
      </c>
      <c r="J26" s="8" t="str">
        <f>IF(I26&lt;1,"Liquidity Problem!","")</f>
        <v/>
      </c>
    </row>
    <row r="27" spans="2:10" ht="15" customHeight="1" x14ac:dyDescent="0.15">
      <c r="B27" s="23" t="s">
        <v>59</v>
      </c>
      <c r="C27" s="80">
        <f>C21+C22</f>
        <v>29465</v>
      </c>
      <c r="D27" s="63">
        <f t="shared" si="3"/>
        <v>0.95</v>
      </c>
      <c r="E27" s="91">
        <f>E21+E22</f>
        <v>27991.75</v>
      </c>
      <c r="F27" s="119">
        <f t="shared" si="2"/>
        <v>3.9360600237078299E-3</v>
      </c>
      <c r="G27" s="90"/>
      <c r="H27" s="23" t="s">
        <v>60</v>
      </c>
      <c r="I27" s="64">
        <f>(E25+E24)/$I$28</f>
        <v>0.63907277876051838</v>
      </c>
      <c r="J27" s="8" t="str">
        <f>IF(OR(I27&lt;0.75,C28&lt;I28),"Liquidity Problem!","")</f>
        <v>Liquidity Problem!</v>
      </c>
    </row>
    <row r="28" spans="2:10" ht="15" customHeight="1" x14ac:dyDescent="0.15">
      <c r="B28" s="81" t="s">
        <v>15</v>
      </c>
      <c r="C28" s="82">
        <f>SUM(C11:C22)</f>
        <v>12332308</v>
      </c>
      <c r="D28" s="58">
        <f t="shared" ref="D28" si="4">E28/C28</f>
        <v>0.57666550738110012</v>
      </c>
      <c r="E28" s="73">
        <f>SUM(E24:E27)</f>
        <v>7111616.6500000004</v>
      </c>
      <c r="F28" s="117"/>
      <c r="G28" s="90"/>
      <c r="H28" s="81" t="s">
        <v>16</v>
      </c>
      <c r="I28" s="69">
        <v>3516809</v>
      </c>
      <c r="J28" s="32">
        <f>IF(J26="",1,0)+IF(J27="",1,0)+IF(J46="",1,0)+IF(J47="",1,0)</f>
        <v>3</v>
      </c>
    </row>
    <row r="29" spans="2:10" ht="15" customHeight="1" x14ac:dyDescent="0.15">
      <c r="C29" s="90"/>
      <c r="D29" s="90"/>
      <c r="E29" s="90"/>
      <c r="F29" s="117" t="s">
        <v>36</v>
      </c>
      <c r="G29" s="90"/>
      <c r="H29" s="90"/>
      <c r="I29" s="90"/>
      <c r="J29" s="90"/>
    </row>
    <row r="30" spans="2:10" ht="15" customHeight="1" x14ac:dyDescent="0.15">
      <c r="B30" s="3" t="s">
        <v>61</v>
      </c>
      <c r="C30" s="60"/>
      <c r="D30" s="61">
        <v>0.95</v>
      </c>
      <c r="E30" s="91">
        <v>0</v>
      </c>
      <c r="F30" s="117"/>
      <c r="G30" s="90"/>
      <c r="H30" s="3" t="s">
        <v>62</v>
      </c>
      <c r="I30" s="60"/>
      <c r="J30" s="90"/>
    </row>
    <row r="31" spans="2:10" ht="15" customHeight="1" x14ac:dyDescent="0.15">
      <c r="B31" s="3" t="s">
        <v>63</v>
      </c>
      <c r="C31" s="60"/>
      <c r="D31" s="61">
        <v>0.5</v>
      </c>
      <c r="E31" s="91">
        <f t="shared" ref="E31:E42" si="5">C31*D31</f>
        <v>0</v>
      </c>
      <c r="F31" s="117"/>
      <c r="G31" s="90"/>
      <c r="H31" s="3" t="s">
        <v>64</v>
      </c>
      <c r="I31" s="60">
        <v>319420</v>
      </c>
      <c r="J31" s="90"/>
    </row>
    <row r="32" spans="2:10" ht="15" customHeight="1" x14ac:dyDescent="0.15">
      <c r="B32" s="3" t="s">
        <v>65</v>
      </c>
      <c r="C32" s="60"/>
      <c r="D32" s="61">
        <v>0.4</v>
      </c>
      <c r="E32" s="91">
        <f t="shared" si="5"/>
        <v>0</v>
      </c>
      <c r="F32" s="117"/>
      <c r="G32" s="90"/>
      <c r="H32" s="3" t="s">
        <v>66</v>
      </c>
      <c r="I32" s="60"/>
      <c r="J32" s="90"/>
    </row>
    <row r="33" spans="2:10" ht="14" x14ac:dyDescent="0.15">
      <c r="B33" s="1" t="s">
        <v>171</v>
      </c>
      <c r="C33" s="60"/>
      <c r="D33" s="61">
        <v>0.5</v>
      </c>
      <c r="E33" s="91">
        <f t="shared" si="5"/>
        <v>0</v>
      </c>
      <c r="F33" s="117"/>
      <c r="G33" s="30">
        <f>IF(F33="Y",0,1)</f>
        <v>1</v>
      </c>
      <c r="H33" s="89" t="s">
        <v>67</v>
      </c>
      <c r="I33" s="127"/>
      <c r="J33" s="90"/>
    </row>
    <row r="34" spans="2:10" ht="14" x14ac:dyDescent="0.15">
      <c r="B34" s="3" t="s">
        <v>68</v>
      </c>
      <c r="C34" s="60">
        <v>103050</v>
      </c>
      <c r="D34" s="61">
        <v>0</v>
      </c>
      <c r="E34" s="91">
        <f t="shared" si="5"/>
        <v>0</v>
      </c>
      <c r="F34" s="117"/>
      <c r="G34" s="90"/>
      <c r="H34" s="1" t="s">
        <v>78</v>
      </c>
      <c r="I34" s="87">
        <f>SUM(I30:I33)</f>
        <v>319420</v>
      </c>
      <c r="J34" s="90"/>
    </row>
    <row r="35" spans="2:10" ht="14" x14ac:dyDescent="0.15">
      <c r="B35" s="3" t="s">
        <v>70</v>
      </c>
      <c r="C35" s="60"/>
      <c r="D35" s="61">
        <v>0.1</v>
      </c>
      <c r="E35" s="91">
        <f t="shared" si="5"/>
        <v>0</v>
      </c>
      <c r="F35" s="118" t="s">
        <v>71</v>
      </c>
      <c r="G35" s="30">
        <f>IF(F35="Y",0,1)</f>
        <v>1</v>
      </c>
      <c r="J35" s="90"/>
    </row>
    <row r="36" spans="2:10" ht="14" x14ac:dyDescent="0.15">
      <c r="B36" s="3" t="s">
        <v>72</v>
      </c>
      <c r="C36" s="60">
        <v>925726</v>
      </c>
      <c r="D36" s="61">
        <v>0.2</v>
      </c>
      <c r="E36" s="91">
        <f t="shared" si="5"/>
        <v>185145.2</v>
      </c>
      <c r="F36" s="118" t="s">
        <v>71</v>
      </c>
      <c r="G36" s="30">
        <f>IF(F36="Y",0,1)</f>
        <v>1</v>
      </c>
      <c r="H36" s="90"/>
      <c r="I36" s="90"/>
    </row>
    <row r="37" spans="2:10" ht="14" x14ac:dyDescent="0.15">
      <c r="B37" s="1" t="s">
        <v>49</v>
      </c>
      <c r="C37" s="60"/>
      <c r="D37" s="61">
        <v>0.05</v>
      </c>
      <c r="E37" s="91">
        <f>C37*D37</f>
        <v>0</v>
      </c>
      <c r="F37" s="118" t="s">
        <v>46</v>
      </c>
      <c r="G37" s="30">
        <f>IF(F37="Y",0,1)</f>
        <v>0</v>
      </c>
      <c r="H37" s="90"/>
      <c r="I37" s="90"/>
    </row>
    <row r="38" spans="2:10" ht="15" customHeight="1" x14ac:dyDescent="0.15">
      <c r="B38" s="3" t="s">
        <v>123</v>
      </c>
      <c r="C38" s="60">
        <v>2522337</v>
      </c>
      <c r="D38" s="61">
        <v>0.1</v>
      </c>
      <c r="E38" s="91">
        <f>C38*D38</f>
        <v>252233.7</v>
      </c>
      <c r="F38" s="117"/>
      <c r="G38" s="90"/>
      <c r="H38" s="90"/>
      <c r="I38" s="90"/>
    </row>
    <row r="39" spans="2:10" ht="14" x14ac:dyDescent="0.15">
      <c r="B39" s="3" t="s">
        <v>73</v>
      </c>
      <c r="C39" s="60"/>
      <c r="D39" s="61">
        <v>0.05</v>
      </c>
      <c r="E39" s="91">
        <f t="shared" si="5"/>
        <v>0</v>
      </c>
      <c r="F39" s="117"/>
      <c r="G39" s="90"/>
      <c r="H39" s="90"/>
      <c r="I39" s="90"/>
    </row>
    <row r="40" spans="2:10" ht="15" customHeight="1" x14ac:dyDescent="0.15">
      <c r="B40" s="3" t="s">
        <v>74</v>
      </c>
      <c r="C40" s="60">
        <v>538321</v>
      </c>
      <c r="D40" s="61">
        <v>0.05</v>
      </c>
      <c r="E40" s="91">
        <f t="shared" si="5"/>
        <v>26916.050000000003</v>
      </c>
      <c r="F40" s="117"/>
      <c r="G40" s="90"/>
      <c r="H40" s="90"/>
      <c r="I40" s="90"/>
    </row>
    <row r="41" spans="2:10" ht="15" customHeight="1" x14ac:dyDescent="0.15">
      <c r="B41" s="3" t="s">
        <v>75</v>
      </c>
      <c r="C41" s="60">
        <v>154648</v>
      </c>
      <c r="D41" s="61">
        <v>0.95</v>
      </c>
      <c r="E41" s="91">
        <f t="shared" si="5"/>
        <v>146915.6</v>
      </c>
      <c r="F41" s="117"/>
      <c r="G41" s="90"/>
      <c r="H41" s="90"/>
      <c r="I41" s="90"/>
    </row>
    <row r="42" spans="2:10" ht="15" customHeight="1" x14ac:dyDescent="0.15">
      <c r="B42" s="3" t="s">
        <v>76</v>
      </c>
      <c r="C42" s="60">
        <v>277674</v>
      </c>
      <c r="D42" s="61">
        <v>0</v>
      </c>
      <c r="E42" s="91">
        <f t="shared" si="5"/>
        <v>0</v>
      </c>
      <c r="F42" s="117"/>
      <c r="G42" s="90"/>
      <c r="H42" s="3" t="s">
        <v>69</v>
      </c>
      <c r="I42" s="52">
        <f>I48-SUM(I30:I33)</f>
        <v>153937</v>
      </c>
    </row>
    <row r="43" spans="2:10" ht="15" customHeight="1" x14ac:dyDescent="0.15">
      <c r="C43" s="90"/>
      <c r="D43" s="90"/>
      <c r="E43" s="90"/>
      <c r="F43" s="90"/>
      <c r="G43" s="90"/>
      <c r="H43" s="90"/>
      <c r="I43" s="90"/>
    </row>
    <row r="44" spans="2:10" ht="15" customHeight="1" x14ac:dyDescent="0.15">
      <c r="B44" s="23" t="s">
        <v>77</v>
      </c>
      <c r="C44" s="62">
        <f>SUM(C30:C31)</f>
        <v>0</v>
      </c>
      <c r="D44" s="63">
        <f>IF(E44=0,0,E44/C44)</f>
        <v>0</v>
      </c>
      <c r="E44" s="91">
        <f>SUM(E30:E31)</f>
        <v>0</v>
      </c>
      <c r="F44" s="75"/>
      <c r="G44" s="90"/>
    </row>
    <row r="45" spans="2:10" ht="15" customHeight="1" x14ac:dyDescent="0.15">
      <c r="B45" s="23" t="s">
        <v>79</v>
      </c>
      <c r="C45" s="62">
        <f>SUM(C32:C35)</f>
        <v>103050</v>
      </c>
      <c r="D45" s="63">
        <f>IF(E45=0,0,E45/C45)</f>
        <v>0</v>
      </c>
      <c r="E45" s="91">
        <f>SUM(E32:E35)</f>
        <v>0</v>
      </c>
      <c r="F45" s="75"/>
      <c r="G45" s="90"/>
    </row>
    <row r="46" spans="2:10" ht="15" customHeight="1" x14ac:dyDescent="0.15">
      <c r="B46" s="23" t="s">
        <v>80</v>
      </c>
      <c r="C46" s="62">
        <f>C36+C37+C38+C39</f>
        <v>3448063</v>
      </c>
      <c r="D46" s="63">
        <f t="shared" ref="D46:D47" si="6">IF(E46=0,0,E46/C46)</f>
        <v>0.12684771130921912</v>
      </c>
      <c r="E46" s="91">
        <f>E36+E37+E38+E39</f>
        <v>437378.9</v>
      </c>
      <c r="F46" s="90"/>
      <c r="G46" s="90"/>
      <c r="H46" s="23" t="s">
        <v>81</v>
      </c>
      <c r="I46" s="64">
        <f>(E44+E24)/E64</f>
        <v>1.086448227499629</v>
      </c>
      <c r="J46" s="8" t="str">
        <f>IF(I46&lt;1,"Liquidity Problem!","")</f>
        <v/>
      </c>
    </row>
    <row r="47" spans="2:10" ht="15" customHeight="1" x14ac:dyDescent="0.15">
      <c r="B47" s="23" t="s">
        <v>82</v>
      </c>
      <c r="C47" s="62">
        <f>C40+C41+C42</f>
        <v>970643</v>
      </c>
      <c r="D47" s="63">
        <f t="shared" si="6"/>
        <v>0.17908917078678774</v>
      </c>
      <c r="E47" s="91">
        <f>E40+E41+E42</f>
        <v>173831.65000000002</v>
      </c>
      <c r="F47" s="90"/>
      <c r="G47" s="90"/>
      <c r="H47" s="23" t="s">
        <v>83</v>
      </c>
      <c r="I47" s="64">
        <f>(E44+E45+E24+E25)/$I$49</f>
        <v>0.56325899724472617</v>
      </c>
      <c r="J47" s="8" t="str">
        <f>IF(OR(I47&lt;0.5,C49&lt;I49),"Liquidity Problem!","")</f>
        <v/>
      </c>
    </row>
    <row r="48" spans="2:10" ht="15" customHeight="1" thickBot="1" x14ac:dyDescent="0.2">
      <c r="B48" s="83" t="s">
        <v>84</v>
      </c>
      <c r="C48" s="84">
        <f>SUM(C30:C42)</f>
        <v>4521756</v>
      </c>
      <c r="D48" s="85">
        <f>E48/C48</f>
        <v>0.13517105965027748</v>
      </c>
      <c r="E48" s="79">
        <f>SUM(E30:E42)</f>
        <v>611210.55000000005</v>
      </c>
      <c r="F48" s="90"/>
      <c r="G48" s="90"/>
      <c r="H48" s="83" t="s">
        <v>85</v>
      </c>
      <c r="I48" s="86">
        <v>473357</v>
      </c>
      <c r="J48" s="8"/>
    </row>
    <row r="49" spans="2:11" ht="15" customHeight="1" thickTop="1" x14ac:dyDescent="0.15">
      <c r="B49" s="3" t="s">
        <v>14</v>
      </c>
      <c r="C49" s="62">
        <f>C28+C48</f>
        <v>16854064</v>
      </c>
      <c r="D49" s="56">
        <f>E49/C49</f>
        <v>0.45821750765868696</v>
      </c>
      <c r="E49" s="91">
        <f>E28+E48</f>
        <v>7722827.2000000002</v>
      </c>
      <c r="F49" s="90"/>
      <c r="G49" s="90"/>
      <c r="H49" s="3" t="s">
        <v>86</v>
      </c>
      <c r="I49" s="52">
        <f>I28+I48</f>
        <v>3990166</v>
      </c>
      <c r="J49" s="90"/>
    </row>
    <row r="50" spans="2:11" ht="15" customHeight="1" x14ac:dyDescent="0.15">
      <c r="C50" s="90"/>
      <c r="D50" s="90"/>
      <c r="E50" s="90"/>
      <c r="I50" s="90"/>
    </row>
    <row r="51" spans="2:11" ht="14" x14ac:dyDescent="0.15">
      <c r="B51" s="10" t="s">
        <v>87</v>
      </c>
      <c r="C51" s="31"/>
      <c r="D51" s="18"/>
    </row>
    <row r="52" spans="2:11" ht="14" x14ac:dyDescent="0.15">
      <c r="B52" s="44" t="s">
        <v>88</v>
      </c>
      <c r="C52" s="90"/>
      <c r="D52" s="77" t="str">
        <f>IF(E53=D4,"BV of the MI","P/B Approach")</f>
        <v>P/B Approach</v>
      </c>
      <c r="E52" s="90"/>
      <c r="F52" s="90"/>
      <c r="G52" s="90"/>
      <c r="I52" s="90"/>
      <c r="K52" s="50" t="s">
        <v>8</v>
      </c>
    </row>
    <row r="53" spans="2:11" ht="14" x14ac:dyDescent="0.15">
      <c r="B53" s="3" t="s">
        <v>89</v>
      </c>
      <c r="C53" s="91">
        <f>MAX(D4,0)</f>
        <v>0</v>
      </c>
      <c r="D53" s="29">
        <f>IF(E53=0, 0,E53/C53)</f>
        <v>0</v>
      </c>
      <c r="E53" s="91">
        <f>MAX(C53,C53*Dashboard!G23)</f>
        <v>0</v>
      </c>
      <c r="F53" s="90"/>
      <c r="G53" s="90"/>
      <c r="I53" s="41"/>
      <c r="K53" s="33"/>
    </row>
    <row r="54" spans="2:11" ht="15" customHeight="1" x14ac:dyDescent="0.15">
      <c r="C54" s="90"/>
      <c r="D54" s="90"/>
      <c r="E54" s="90"/>
      <c r="F54" s="90"/>
      <c r="G54" s="90"/>
      <c r="I54" s="90"/>
      <c r="K54" s="33"/>
    </row>
    <row r="55" spans="2:11" ht="14" x14ac:dyDescent="0.15">
      <c r="B55" s="25" t="s">
        <v>161</v>
      </c>
      <c r="C55" s="3"/>
      <c r="E55" s="133"/>
      <c r="F55" s="3"/>
      <c r="G55" s="3"/>
      <c r="I55" s="90"/>
      <c r="K55" s="33"/>
    </row>
    <row r="56" spans="2:11" ht="14" x14ac:dyDescent="0.15">
      <c r="B56" s="20" t="s">
        <v>90</v>
      </c>
      <c r="C56" s="90"/>
      <c r="D56" s="225">
        <f>I15+I34</f>
        <v>2034922</v>
      </c>
      <c r="E56" s="226"/>
      <c r="F56" s="3"/>
      <c r="G56" s="3"/>
      <c r="I56" s="56"/>
      <c r="K56" s="33"/>
    </row>
    <row r="57" spans="2:11" ht="14" x14ac:dyDescent="0.15">
      <c r="B57" s="20" t="s">
        <v>91</v>
      </c>
      <c r="C57" s="90"/>
      <c r="D57" s="224">
        <v>0</v>
      </c>
      <c r="E57" s="223"/>
      <c r="G57" s="90"/>
      <c r="I57" s="90"/>
      <c r="K57" s="33" t="s">
        <v>92</v>
      </c>
    </row>
    <row r="58" spans="2:11" ht="12.75" customHeight="1" x14ac:dyDescent="0.15">
      <c r="B58" s="20" t="s">
        <v>93</v>
      </c>
      <c r="C58" s="90"/>
      <c r="D58" s="224">
        <v>0</v>
      </c>
      <c r="E58" s="223"/>
      <c r="F58" s="3"/>
      <c r="G58" s="3"/>
      <c r="I58" s="90"/>
      <c r="K58" s="33"/>
    </row>
    <row r="59" spans="2:11" ht="15" customHeight="1" x14ac:dyDescent="0.15">
      <c r="C59" s="90"/>
      <c r="D59" s="90"/>
      <c r="E59" s="90"/>
      <c r="F59" s="90"/>
      <c r="G59" s="90"/>
      <c r="I59" s="90"/>
      <c r="K59" s="33"/>
    </row>
    <row r="60" spans="2:11" ht="14" x14ac:dyDescent="0.15">
      <c r="B60" s="25" t="s">
        <v>164</v>
      </c>
      <c r="C60" s="3"/>
      <c r="D60" s="78" t="s">
        <v>94</v>
      </c>
      <c r="E60" s="90"/>
      <c r="F60" s="9"/>
      <c r="G60" s="9"/>
      <c r="I60" s="90"/>
      <c r="K60" s="33"/>
    </row>
    <row r="61" spans="2:11" ht="15" customHeight="1" x14ac:dyDescent="0.15">
      <c r="B61" s="19" t="s">
        <v>95</v>
      </c>
      <c r="C61" s="71">
        <f>C14+C15+(C19*G19)+(C20*G20)+C31+C32+(C35*G35)+(C36*G36)+(C37*G37)</f>
        <v>925726</v>
      </c>
      <c r="D61" s="56">
        <f t="shared" ref="D61:D70" si="7">IF(E61=0,0,E61/C61)</f>
        <v>0.2</v>
      </c>
      <c r="E61" s="52">
        <f>E14+E15+(E19*G19)+(E20*G20)+E31+E32+(E35*G35)+(E36*G36)+(E37*G37)</f>
        <v>185145.2</v>
      </c>
      <c r="F61" s="90"/>
      <c r="G61" s="90"/>
      <c r="I61" s="90"/>
      <c r="K61" s="33"/>
    </row>
    <row r="62" spans="2:11" ht="14" x14ac:dyDescent="0.15">
      <c r="B62" s="35" t="s">
        <v>150</v>
      </c>
      <c r="C62" s="124">
        <f>C11+C30</f>
        <v>1998219</v>
      </c>
      <c r="D62" s="112">
        <f t="shared" si="7"/>
        <v>1</v>
      </c>
      <c r="E62" s="125">
        <f>E11+E30</f>
        <v>1998219</v>
      </c>
      <c r="F62" s="90"/>
      <c r="G62" s="90"/>
      <c r="I62" s="90"/>
      <c r="K62" s="33"/>
    </row>
    <row r="63" spans="2:11" ht="14" x14ac:dyDescent="0.15">
      <c r="B63" s="19" t="s">
        <v>152</v>
      </c>
      <c r="C63" s="71">
        <f>C61+C62</f>
        <v>2923945</v>
      </c>
      <c r="D63" s="29">
        <f t="shared" si="7"/>
        <v>0.74671862842837333</v>
      </c>
      <c r="E63" s="62">
        <f>E61+E62</f>
        <v>2183364.2000000002</v>
      </c>
      <c r="F63" s="90"/>
      <c r="G63" s="90"/>
      <c r="I63" s="90"/>
      <c r="K63" s="33"/>
    </row>
    <row r="64" spans="2:11" thickBot="1" x14ac:dyDescent="0.2">
      <c r="B64" s="128" t="s">
        <v>162</v>
      </c>
      <c r="C64" s="129"/>
      <c r="D64" s="130"/>
      <c r="E64" s="72">
        <f>D56+D57+D58</f>
        <v>2034922</v>
      </c>
      <c r="F64" s="90"/>
      <c r="G64" s="90"/>
      <c r="I64" s="90"/>
      <c r="K64" s="33"/>
    </row>
    <row r="65" spans="1:11" thickTop="1" x14ac:dyDescent="0.15">
      <c r="B65" s="3" t="s">
        <v>153</v>
      </c>
      <c r="C65" s="71">
        <f>C63-E64</f>
        <v>889023</v>
      </c>
      <c r="D65" s="29">
        <f t="shared" si="7"/>
        <v>0.16697228305679401</v>
      </c>
      <c r="E65" s="62">
        <f>E63-E64</f>
        <v>148442.20000000019</v>
      </c>
      <c r="F65" s="90"/>
      <c r="G65" s="90"/>
      <c r="I65" s="90"/>
      <c r="K65" s="33"/>
    </row>
    <row r="66" spans="1:11" ht="14" x14ac:dyDescent="0.15">
      <c r="B66" s="3"/>
      <c r="C66" s="71"/>
      <c r="D66" s="29"/>
      <c r="E66" s="62"/>
      <c r="F66" s="90"/>
      <c r="G66" s="90"/>
      <c r="I66" s="90"/>
      <c r="K66" s="33"/>
    </row>
    <row r="67" spans="1:11" ht="14" x14ac:dyDescent="0.15">
      <c r="B67" s="25" t="s">
        <v>165</v>
      </c>
      <c r="C67" s="3"/>
      <c r="D67" s="78" t="s">
        <v>94</v>
      </c>
      <c r="E67" s="62"/>
      <c r="F67" s="90"/>
      <c r="G67" s="90"/>
      <c r="I67" s="90"/>
      <c r="K67" s="33"/>
    </row>
    <row r="68" spans="1:11" ht="14" x14ac:dyDescent="0.15">
      <c r="B68" s="19" t="s">
        <v>151</v>
      </c>
      <c r="C68" s="71">
        <f>C49-C63</f>
        <v>13930119</v>
      </c>
      <c r="D68" s="29">
        <f t="shared" si="7"/>
        <v>0.3976608527177693</v>
      </c>
      <c r="E68" s="71">
        <f>E49-E63</f>
        <v>5539463</v>
      </c>
      <c r="F68" s="90"/>
      <c r="G68" s="90"/>
      <c r="I68" s="90"/>
      <c r="K68" s="33"/>
    </row>
    <row r="69" spans="1:11" thickBot="1" x14ac:dyDescent="0.2">
      <c r="B69" s="128" t="s">
        <v>163</v>
      </c>
      <c r="C69" s="129"/>
      <c r="D69" s="130"/>
      <c r="E69" s="134">
        <f>I49-E64</f>
        <v>1955244</v>
      </c>
      <c r="F69" s="90"/>
      <c r="G69" s="90"/>
      <c r="I69" s="90"/>
      <c r="K69" s="33"/>
    </row>
    <row r="70" spans="1:11" thickTop="1" x14ac:dyDescent="0.15">
      <c r="B70" s="19" t="s">
        <v>154</v>
      </c>
      <c r="C70" s="71">
        <f>C68-E69</f>
        <v>11974875</v>
      </c>
      <c r="D70" s="29">
        <f t="shared" si="7"/>
        <v>0.29931160032985732</v>
      </c>
      <c r="E70" s="71">
        <f>E68-E69</f>
        <v>3584219</v>
      </c>
      <c r="F70" s="90"/>
      <c r="G70" s="90"/>
      <c r="I70" s="90"/>
      <c r="K70" s="33"/>
    </row>
    <row r="72" spans="1:11" ht="15" customHeight="1" x14ac:dyDescent="0.15">
      <c r="A72" s="5"/>
      <c r="B72" s="111" t="s">
        <v>137</v>
      </c>
      <c r="C72" s="229">
        <f>Data!C5</f>
        <v>45381</v>
      </c>
      <c r="D72" s="229"/>
      <c r="E72" s="227" t="s">
        <v>230</v>
      </c>
      <c r="F72" s="227"/>
      <c r="H72" s="227" t="s">
        <v>229</v>
      </c>
      <c r="I72" s="227"/>
      <c r="K72" s="50" t="s">
        <v>8</v>
      </c>
    </row>
    <row r="73" spans="1:11" ht="15" customHeight="1" x14ac:dyDescent="0.15">
      <c r="B73" s="12" t="str">
        <f>"(Numbers in "&amp;Data!C4&amp;Dashboard!G6&amp;")"</f>
        <v>(Numbers in 1000HKD)</v>
      </c>
      <c r="C73" s="228" t="s">
        <v>103</v>
      </c>
      <c r="D73" s="228"/>
      <c r="E73" s="230" t="s">
        <v>104</v>
      </c>
      <c r="F73" s="228"/>
      <c r="H73" s="230" t="s">
        <v>104</v>
      </c>
      <c r="I73" s="228"/>
      <c r="K73" s="24"/>
    </row>
    <row r="74" spans="1:11" ht="15" customHeight="1" x14ac:dyDescent="0.15">
      <c r="B74" s="3" t="s">
        <v>136</v>
      </c>
      <c r="C74" s="80">
        <f>Data!C6</f>
        <v>15325962</v>
      </c>
      <c r="D74" s="176"/>
      <c r="E74" s="177">
        <f>H74*0.8</f>
        <v>12260769.600000001</v>
      </c>
      <c r="F74" s="176"/>
      <c r="H74" s="177">
        <f>C74</f>
        <v>15325962</v>
      </c>
      <c r="I74" s="176"/>
      <c r="K74" s="24"/>
    </row>
    <row r="75" spans="1:11" ht="15" customHeight="1" x14ac:dyDescent="0.15">
      <c r="B75" s="109" t="s">
        <v>109</v>
      </c>
      <c r="C75" s="80">
        <f>Data!C8</f>
        <v>11151623</v>
      </c>
      <c r="D75" s="178">
        <f>C75/$C$74</f>
        <v>0.72762956087193742</v>
      </c>
      <c r="E75" s="205">
        <f>E74*F75</f>
        <v>8921298.4000000004</v>
      </c>
      <c r="F75" s="179">
        <f>I75</f>
        <v>0.72762956087193742</v>
      </c>
      <c r="H75" s="177">
        <f>D75*H74</f>
        <v>11151623</v>
      </c>
      <c r="I75" s="179">
        <f>H75/$H$74</f>
        <v>0.72762956087193742</v>
      </c>
      <c r="K75" s="24"/>
    </row>
    <row r="76" spans="1:11" ht="15" customHeight="1" x14ac:dyDescent="0.15">
      <c r="B76" s="35" t="s">
        <v>96</v>
      </c>
      <c r="C76" s="180">
        <f>C74-C75</f>
        <v>4174339</v>
      </c>
      <c r="D76" s="181"/>
      <c r="E76" s="182">
        <f>E74-E75</f>
        <v>3339471.2000000011</v>
      </c>
      <c r="F76" s="181"/>
      <c r="H76" s="182">
        <f>H74-H75</f>
        <v>4174339</v>
      </c>
      <c r="I76" s="181"/>
      <c r="K76" s="24"/>
    </row>
    <row r="77" spans="1:11" ht="15" customHeight="1" x14ac:dyDescent="0.15">
      <c r="B77" s="109" t="s">
        <v>133</v>
      </c>
      <c r="C77" s="80">
        <f>Data!C10-Data!C12</f>
        <v>1841012</v>
      </c>
      <c r="D77" s="178">
        <f>C77/$C$74</f>
        <v>0.12012374818624762</v>
      </c>
      <c r="E77" s="205">
        <f>E74*F77</f>
        <v>1472809.6</v>
      </c>
      <c r="F77" s="179">
        <f>I77</f>
        <v>0.12012374818624762</v>
      </c>
      <c r="H77" s="177">
        <f>D77*H74</f>
        <v>1841012</v>
      </c>
      <c r="I77" s="179">
        <f>H77/$H$74</f>
        <v>0.12012374818624762</v>
      </c>
      <c r="K77" s="24"/>
    </row>
    <row r="78" spans="1:11" ht="15" customHeight="1" x14ac:dyDescent="0.15">
      <c r="B78" s="35" t="s">
        <v>97</v>
      </c>
      <c r="C78" s="180">
        <f>C76-C77</f>
        <v>2333327</v>
      </c>
      <c r="D78" s="181"/>
      <c r="E78" s="182">
        <f>E76-E77</f>
        <v>1866661.600000001</v>
      </c>
      <c r="F78" s="181"/>
      <c r="H78" s="182">
        <f>H76-H77</f>
        <v>2333327</v>
      </c>
      <c r="I78" s="181"/>
      <c r="K78" s="24"/>
    </row>
    <row r="79" spans="1:11" ht="15" customHeight="1" x14ac:dyDescent="0.15">
      <c r="B79" s="109" t="s">
        <v>129</v>
      </c>
      <c r="C79" s="80">
        <f>Data!C17</f>
        <v>59596</v>
      </c>
      <c r="D79" s="178">
        <f>C79/$C$74</f>
        <v>3.8885650375487034E-3</v>
      </c>
      <c r="E79" s="205">
        <f>E74*F79</f>
        <v>47676.80000000001</v>
      </c>
      <c r="F79" s="179">
        <f t="shared" ref="F79:F84" si="8">I79</f>
        <v>3.8885650375487034E-3</v>
      </c>
      <c r="H79" s="177">
        <f>C79</f>
        <v>59596</v>
      </c>
      <c r="I79" s="179">
        <f>H79/$H$74</f>
        <v>3.8885650375487034E-3</v>
      </c>
      <c r="K79" s="24"/>
    </row>
    <row r="80" spans="1:11" ht="15" customHeight="1" x14ac:dyDescent="0.15">
      <c r="B80" s="28" t="s">
        <v>135</v>
      </c>
      <c r="C80" s="80">
        <f>Data!C14+MAX(Data!C15,0)</f>
        <v>676387</v>
      </c>
      <c r="D80" s="178">
        <f>C80/$C$74</f>
        <v>4.413341231043115E-2</v>
      </c>
      <c r="E80" s="205">
        <f>E74*F80</f>
        <v>367823.08800000005</v>
      </c>
      <c r="F80" s="179">
        <f t="shared" si="8"/>
        <v>0.03</v>
      </c>
      <c r="H80" s="177">
        <f>3%*H74</f>
        <v>459778.86</v>
      </c>
      <c r="I80" s="179">
        <f>H80/$H$74</f>
        <v>0.03</v>
      </c>
      <c r="K80" s="24"/>
    </row>
    <row r="81" spans="1:11" ht="15" customHeight="1" x14ac:dyDescent="0.15">
      <c r="B81" s="28" t="s">
        <v>113</v>
      </c>
      <c r="C81" s="80">
        <f>MAX(Data!C16,0)</f>
        <v>626583</v>
      </c>
      <c r="D81" s="178">
        <f>C81/$C$74</f>
        <v>4.0883763120383568E-2</v>
      </c>
      <c r="E81" s="205">
        <f>E74*F81</f>
        <v>501266.4</v>
      </c>
      <c r="F81" s="179">
        <f t="shared" si="8"/>
        <v>4.0883763120383568E-2</v>
      </c>
      <c r="H81" s="177">
        <f>C81</f>
        <v>626583</v>
      </c>
      <c r="I81" s="179">
        <f>H81/$H$74</f>
        <v>4.0883763120383568E-2</v>
      </c>
      <c r="K81" s="206" t="s">
        <v>141</v>
      </c>
    </row>
    <row r="82" spans="1:11" ht="15" customHeight="1" x14ac:dyDescent="0.15">
      <c r="B82" s="76" t="s">
        <v>186</v>
      </c>
      <c r="C82" s="80">
        <f>MAX(Data!C18,0)</f>
        <v>0</v>
      </c>
      <c r="D82" s="178">
        <f>C82/$C$74</f>
        <v>0</v>
      </c>
      <c r="E82" s="205">
        <f>E74*F82</f>
        <v>0</v>
      </c>
      <c r="F82" s="179">
        <f t="shared" si="8"/>
        <v>0</v>
      </c>
      <c r="H82" s="177">
        <v>0</v>
      </c>
      <c r="I82" s="179">
        <f>H82/$H$74</f>
        <v>0</v>
      </c>
      <c r="K82" s="24"/>
    </row>
    <row r="83" spans="1:11" ht="15" customHeight="1" thickBot="1" x14ac:dyDescent="0.2">
      <c r="B83" s="110" t="s">
        <v>134</v>
      </c>
      <c r="C83" s="183">
        <f>C78-C79-C80-C81-C82</f>
        <v>970761</v>
      </c>
      <c r="D83" s="184">
        <f>C83/$C$74</f>
        <v>6.3340950473451521E-2</v>
      </c>
      <c r="E83" s="185">
        <f>E74*F83</f>
        <v>949895.31200000015</v>
      </c>
      <c r="F83" s="186">
        <f t="shared" si="8"/>
        <v>7.7474362783882672E-2</v>
      </c>
      <c r="H83" s="185">
        <f>H78-H79-H80-H81-H82</f>
        <v>1187369.1400000001</v>
      </c>
      <c r="I83" s="186">
        <f>H83/$H$74</f>
        <v>7.7474362783882672E-2</v>
      </c>
      <c r="K83" s="24"/>
    </row>
    <row r="84" spans="1:11" ht="15" customHeight="1" thickTop="1" x14ac:dyDescent="0.15">
      <c r="B84" s="28" t="s">
        <v>98</v>
      </c>
      <c r="C84" s="187"/>
      <c r="D84" s="188"/>
      <c r="E84" s="189"/>
      <c r="F84" s="204">
        <f t="shared" si="8"/>
        <v>0.25</v>
      </c>
      <c r="H84" s="189"/>
      <c r="I84" s="190">
        <v>0.25</v>
      </c>
      <c r="K84" s="24"/>
    </row>
    <row r="85" spans="1:11" ht="15" customHeight="1" x14ac:dyDescent="0.15">
      <c r="B85" s="89" t="s">
        <v>176</v>
      </c>
      <c r="C85" s="180">
        <f>C83*(1-I84)</f>
        <v>728070.75</v>
      </c>
      <c r="D85" s="186">
        <f>C85/$C$74</f>
        <v>4.7505712855088637E-2</v>
      </c>
      <c r="E85" s="191">
        <f>E83*(1-F84)</f>
        <v>712421.48400000017</v>
      </c>
      <c r="F85" s="186">
        <f>E85/$H$74</f>
        <v>4.648461767032961E-2</v>
      </c>
      <c r="H85" s="191">
        <f>H83*(1-I84)</f>
        <v>890526.8550000001</v>
      </c>
      <c r="I85" s="186">
        <f>H85/$H$74</f>
        <v>5.8105772087912011E-2</v>
      </c>
      <c r="K85" s="24"/>
    </row>
    <row r="86" spans="1:11" ht="15" customHeight="1" x14ac:dyDescent="0.15">
      <c r="B86" s="90" t="s">
        <v>172</v>
      </c>
      <c r="C86" s="192">
        <f>C85*Data!C4/Common_Shares</f>
        <v>1.2400971133327547</v>
      </c>
      <c r="D86" s="176"/>
      <c r="E86" s="193">
        <f>E85*Data!C4/Common_Shares</f>
        <v>1.2134422729997565</v>
      </c>
      <c r="F86" s="176"/>
      <c r="H86" s="193">
        <f>H85*Data!C4/Common_Shares</f>
        <v>1.5168028412496957</v>
      </c>
      <c r="I86" s="176"/>
      <c r="K86" s="24"/>
    </row>
    <row r="87" spans="1:11" ht="15" customHeight="1" x14ac:dyDescent="0.15">
      <c r="B87" s="90" t="s">
        <v>232</v>
      </c>
      <c r="C87" s="207">
        <f>C86/Dashboard!G3</f>
        <v>8.2125634569821943E-2</v>
      </c>
      <c r="D87" s="176"/>
      <c r="E87" s="207">
        <f>E86/Dashboard!G3</f>
        <v>8.0360413400310693E-2</v>
      </c>
      <c r="F87" s="176"/>
      <c r="H87" s="207">
        <f>H86/Dashboard!G3</f>
        <v>0.10045051675038838</v>
      </c>
      <c r="I87" s="176"/>
      <c r="K87" s="24"/>
    </row>
    <row r="88" spans="1:11" ht="15" customHeight="1" x14ac:dyDescent="0.15">
      <c r="B88" s="89" t="s">
        <v>231</v>
      </c>
      <c r="C88" s="194">
        <f>0.72+0.64</f>
        <v>1.3599999999999999</v>
      </c>
      <c r="D88" s="186">
        <f>C88/C86</f>
        <v>1.0966883039869408</v>
      </c>
      <c r="E88" s="195">
        <f>H88*0.85</f>
        <v>1.1559999999999999</v>
      </c>
      <c r="F88" s="186">
        <f>E88/E86</f>
        <v>0.95266171759637708</v>
      </c>
      <c r="H88" s="195">
        <f>C88</f>
        <v>1.3599999999999999</v>
      </c>
      <c r="I88" s="186">
        <f>H88/H86</f>
        <v>0.8966227930318843</v>
      </c>
      <c r="K88" s="24"/>
    </row>
    <row r="89" spans="1:11" ht="15" customHeight="1" x14ac:dyDescent="0.15">
      <c r="B89" s="90" t="s">
        <v>233</v>
      </c>
      <c r="C89" s="207">
        <f>C88/Dashboard!G3</f>
        <v>9.0066222890229308E-2</v>
      </c>
      <c r="D89" s="176"/>
      <c r="E89" s="207">
        <f>E88/Dashboard!G3</f>
        <v>7.6556289456694904E-2</v>
      </c>
      <c r="F89" s="176"/>
      <c r="H89" s="207">
        <f>H88/Dashboard!G3</f>
        <v>9.0066222890229308E-2</v>
      </c>
      <c r="I89" s="176"/>
      <c r="K89" s="24"/>
    </row>
    <row r="90" spans="1:11" ht="15" customHeight="1" x14ac:dyDescent="0.15">
      <c r="B90" s="28"/>
      <c r="C90" s="91"/>
    </row>
    <row r="91" spans="1:11" ht="15" customHeight="1" x14ac:dyDescent="0.15">
      <c r="A91" s="5"/>
      <c r="B91" s="111" t="s">
        <v>166</v>
      </c>
      <c r="C91" s="21"/>
      <c r="K91" s="50" t="s">
        <v>143</v>
      </c>
    </row>
    <row r="92" spans="1:11" ht="15" customHeight="1" x14ac:dyDescent="0.15">
      <c r="B92" s="10" t="s">
        <v>167</v>
      </c>
      <c r="C92" s="61" t="s">
        <v>205</v>
      </c>
      <c r="D92" s="10" t="s">
        <v>168</v>
      </c>
      <c r="E92" s="227" t="s">
        <v>230</v>
      </c>
      <c r="F92" s="227"/>
      <c r="G92" s="90"/>
      <c r="H92" s="227" t="s">
        <v>229</v>
      </c>
      <c r="I92" s="227"/>
      <c r="K92" s="24"/>
    </row>
    <row r="93" spans="1:11" ht="15" customHeight="1" x14ac:dyDescent="0.15">
      <c r="B93" s="1" t="str">
        <f>C92&amp;" Required Return"</f>
        <v>HK Required Return</v>
      </c>
      <c r="C93" s="144">
        <f>IF(C92="CN",Dashboard!C17,IF(C92="US",Dashboard!C12,IF(C92="HK",Dashboard!D12,Dashboard!D17)))</f>
        <v>7.0000000000000007E-2</v>
      </c>
      <c r="D93" s="210">
        <v>5</v>
      </c>
      <c r="E93" s="90" t="s">
        <v>234</v>
      </c>
      <c r="F93" s="157">
        <f>FV(E87,D93,0,-(E86/C93))</f>
        <v>25.513168208416136</v>
      </c>
      <c r="H93" s="90" t="s">
        <v>234</v>
      </c>
      <c r="I93" s="157">
        <f>FV(H87,D93,0,-(H86/C93))</f>
        <v>34.969038154922046</v>
      </c>
      <c r="K93" s="24"/>
    </row>
    <row r="94" spans="1:11" ht="15" customHeight="1" x14ac:dyDescent="0.15">
      <c r="B94" s="1" t="s">
        <v>236</v>
      </c>
      <c r="C94" s="208">
        <f>Dashboard!G20</f>
        <v>0.15</v>
      </c>
      <c r="D94" s="158"/>
      <c r="E94" s="90" t="s">
        <v>235</v>
      </c>
      <c r="F94" s="157">
        <f>FV(E89,D93,0,-(E88/C93))</f>
        <v>23.880505008882196</v>
      </c>
      <c r="H94" s="90" t="s">
        <v>235</v>
      </c>
      <c r="I94" s="157">
        <f>FV(H89,D93,0,-(H88/C93))</f>
        <v>29.902347331465716</v>
      </c>
      <c r="K94" s="24"/>
    </row>
    <row r="95" spans="1:11" ht="15" customHeight="1" x14ac:dyDescent="0.15">
      <c r="E95" s="24"/>
      <c r="K95" s="24"/>
    </row>
    <row r="96" spans="1:11" ht="15" customHeight="1" x14ac:dyDescent="0.15">
      <c r="A96" s="5"/>
      <c r="B96" s="111" t="str">
        <f xml:space="preserve"> "Valuation in "&amp;Dashboard!H3</f>
        <v>Valuation in HKD</v>
      </c>
      <c r="C96" s="135" t="str">
        <f>Dashboard!H3</f>
        <v>HKD</v>
      </c>
      <c r="E96" s="132" t="s">
        <v>239</v>
      </c>
      <c r="F96" s="209" t="str">
        <f>E72</f>
        <v>Pessimistic Case</v>
      </c>
      <c r="H96" s="209" t="str">
        <f>H72</f>
        <v>Base Case</v>
      </c>
      <c r="I96" s="132" t="s">
        <v>238</v>
      </c>
      <c r="K96" s="24"/>
    </row>
    <row r="97" spans="2:11" ht="15" customHeight="1" x14ac:dyDescent="0.15">
      <c r="B97" s="1" t="s">
        <v>140</v>
      </c>
      <c r="C97" s="95">
        <f>H97*Common_Shares/Data!C4</f>
        <v>14638031.78044465</v>
      </c>
      <c r="E97" s="131">
        <f>PV(C94,D93,0,-F93)*Exchange_Rate</f>
        <v>12.684553676976455</v>
      </c>
      <c r="F97" s="131">
        <f>PV(C93,D93,0,-F93)*Exchange_Rate</f>
        <v>18.190536327442807</v>
      </c>
      <c r="H97" s="131">
        <f>PV(C93,D93,0,-I93)*Exchange_Rate</f>
        <v>24.932440914296496</v>
      </c>
      <c r="I97" s="211"/>
      <c r="K97" s="24"/>
    </row>
    <row r="98" spans="2:11" ht="15" customHeight="1" x14ac:dyDescent="0.15">
      <c r="B98" s="28" t="s">
        <v>155</v>
      </c>
      <c r="C98" s="95">
        <f>E53*Exchange_Rate</f>
        <v>0</v>
      </c>
      <c r="E98" s="120"/>
      <c r="F98" s="120"/>
      <c r="H98" s="131">
        <f>C98*Data!$C$4/Common_Shares</f>
        <v>0</v>
      </c>
      <c r="I98" s="211"/>
      <c r="K98" s="24"/>
    </row>
    <row r="99" spans="2:11" ht="15" customHeight="1" thickBot="1" x14ac:dyDescent="0.2">
      <c r="B99" s="110" t="s">
        <v>156</v>
      </c>
      <c r="C99" s="113">
        <f>(E65+MIN(0,E70))*Exchange_Rate</f>
        <v>148442.20000000019</v>
      </c>
      <c r="E99" s="160"/>
      <c r="F99" s="160"/>
      <c r="H99" s="159">
        <f>C99*Data!$C$4/Common_Shares</f>
        <v>0.25283634003531069</v>
      </c>
      <c r="I99" s="212"/>
      <c r="K99" s="24"/>
    </row>
    <row r="100" spans="2:11" ht="15" customHeight="1" thickTop="1" x14ac:dyDescent="0.15">
      <c r="B100" s="1" t="s">
        <v>119</v>
      </c>
      <c r="C100" s="95">
        <f>C97-C98+$C$99</f>
        <v>14786473.980444651</v>
      </c>
      <c r="E100" s="114">
        <f>E97*Exchange_Rate-F98+F99</f>
        <v>12.684553676976455</v>
      </c>
      <c r="F100" s="114">
        <f>F97*Exchange_Rate-H98+H99</f>
        <v>18.443372667478119</v>
      </c>
      <c r="H100" s="114">
        <f>MAX(C100*Data!$C$4/Common_Shares,0)</f>
        <v>25.185277254331808</v>
      </c>
      <c r="I100" s="114">
        <f>H100*1.25</f>
        <v>31.48159656791476</v>
      </c>
      <c r="K100" s="24"/>
    </row>
    <row r="101" spans="2:11" ht="15" customHeight="1" x14ac:dyDescent="0.15">
      <c r="F101" s="24"/>
      <c r="K101" s="24"/>
    </row>
    <row r="102" spans="2:11" ht="15" customHeight="1" x14ac:dyDescent="0.15">
      <c r="B102" s="10" t="s">
        <v>174</v>
      </c>
      <c r="C102" s="135" t="str">
        <f>C96</f>
        <v>HKD</v>
      </c>
      <c r="E102" s="132" t="s">
        <v>239</v>
      </c>
      <c r="F102" s="209" t="str">
        <f>F96</f>
        <v>Pessimistic Case</v>
      </c>
      <c r="H102" s="209" t="str">
        <f>H96</f>
        <v>Base Case</v>
      </c>
      <c r="I102" s="132" t="s">
        <v>238</v>
      </c>
      <c r="K102" s="24"/>
    </row>
    <row r="103" spans="2:11" ht="15" customHeight="1" x14ac:dyDescent="0.15">
      <c r="B103" s="1" t="s">
        <v>173</v>
      </c>
      <c r="C103" s="95">
        <f>H103*Common_Shares/Data!C4</f>
        <v>12517116.101641463</v>
      </c>
      <c r="E103" s="114">
        <f>PV(C94,D93,0,-F94)*Exchange_Rate</f>
        <v>11.872831517590509</v>
      </c>
      <c r="F103" s="131">
        <f>PV(C93,D93,0,-F94)*Exchange_Rate</f>
        <v>17.026470030423521</v>
      </c>
      <c r="H103" s="131">
        <f>PV(C93,D93,0,-I94)*Exchange_Rate</f>
        <v>21.319960381455406</v>
      </c>
      <c r="I103" s="114">
        <f>H103*1.25</f>
        <v>26.649950476819257</v>
      </c>
      <c r="K103" s="24"/>
    </row>
    <row r="104" spans="2:11" ht="15" customHeight="1" x14ac:dyDescent="0.15">
      <c r="F104" s="24"/>
      <c r="K104" s="24"/>
    </row>
    <row r="105" spans="2:11" ht="15" customHeight="1" x14ac:dyDescent="0.15">
      <c r="B105" s="10" t="s">
        <v>217</v>
      </c>
      <c r="C105" s="135" t="str">
        <f>C102</f>
        <v>HKD</v>
      </c>
      <c r="E105" s="132" t="s">
        <v>239</v>
      </c>
      <c r="F105" s="213" t="s">
        <v>227</v>
      </c>
      <c r="H105" s="213" t="s">
        <v>227</v>
      </c>
      <c r="I105" s="132" t="s">
        <v>238</v>
      </c>
      <c r="K105" s="24"/>
    </row>
    <row r="106" spans="2:11" ht="15" customHeight="1" x14ac:dyDescent="0.15">
      <c r="B106" s="1" t="s">
        <v>218</v>
      </c>
      <c r="C106" s="95">
        <f>F106*Common_Shares/Data!C4</f>
        <v>10412311.543101616</v>
      </c>
      <c r="E106" s="114">
        <f>(E100+E103)/2</f>
        <v>12.278692597283481</v>
      </c>
      <c r="F106" s="131">
        <f>(F100+F103)/2</f>
        <v>17.73492134895082</v>
      </c>
      <c r="H106" s="131">
        <f>(H100+H103)/2</f>
        <v>23.252618817893605</v>
      </c>
      <c r="I106" s="114">
        <f>H106*1.25</f>
        <v>29.065773522367007</v>
      </c>
      <c r="K106" s="24"/>
    </row>
    <row r="107" spans="2:11" ht="15" customHeight="1" x14ac:dyDescent="0.15">
      <c r="K107" s="24"/>
    </row>
    <row r="108" spans="2:11" ht="15" customHeight="1" x14ac:dyDescent="0.15">
      <c r="B108" s="10" t="s">
        <v>177</v>
      </c>
      <c r="C108" s="136" t="s">
        <v>228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2024-11-12T12:46:08Z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