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13_ncr:1_{93DB5ED6-AC6C-BA48-9BB2-F36B903B727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5" i="4"/>
  <c r="D32" i="4"/>
  <c r="C32" i="4"/>
  <c r="D31" i="4"/>
  <c r="C31" i="4"/>
  <c r="D33" i="4"/>
  <c r="C33" i="4"/>
  <c r="F44" i="4"/>
  <c r="C44" i="4"/>
  <c r="E44" i="4"/>
  <c r="D44" i="4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F106" i="3" s="1"/>
  <c r="F29" i="1" s="1"/>
  <c r="H106" i="3"/>
  <c r="D100" i="3" l="1"/>
  <c r="C29" i="1" s="1"/>
  <c r="D106" i="3" l="1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<sst xmlns="http://schemas.openxmlformats.org/spreadsheetml/2006/main" count="391" uniqueCount="271">
  <si>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</si>
  <si>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</si>
  <si>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</si>
  <si>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</si>
  <si>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</si>
  <si>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</si>
  <si>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</si>
  <si>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</si>
  <si>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</si>
  <si>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</si>
  <si>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</si>
  <si>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</si>
  <si>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</si>
  <si>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</si>
  <si>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</si>
  <si>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</si>
  <si>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</si>
  <si>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</si>
  <si>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</si>
  <si>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</si>
  <si>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</si>
  <si>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</si>
  <si>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</si>
  <si>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</si>
  <si>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</si>
  <si>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</si>
  <si>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</si>
  <si>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</si>
  <si>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</si>
  <si>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</si>
  <si>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</si>
  <si>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</si>
  <si>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</si>
  <si>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</si>
  <si>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</si>
  <si>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</si>
  <si>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</si>
  <si>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</si>
  <si>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</si>
  <si>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</si>
  <si>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</si>
  <si>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</si>
  <si>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</si>
  <si>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</si>
  <si>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</si>
  <si>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</si>
  <si>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</si>
  <si>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</si>
  <si>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</si>
  <si>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</si>
  <si>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</si>
  <si>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</si>
  <si>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</si>
  <si>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</si>
  <si>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</si>
  <si>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</si>
  <si>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</si>
  <si>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</si>
  <si>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</si>
  <si>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</si>
  <si>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</si>
  <si>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</si>
  <si>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</si>
  <si>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</si>
  <si>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</si>
  <si>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</si>
  <si>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</si>
  <si>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</si>
  <si>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</si>
  <si>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</si>
  <si>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</si>
  <si>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</si>
  <si>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</si>
  <si>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</si>
  <si>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</si>
  <si>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</si>
  <si>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</si>
  <si>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</si>
  <si>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</si>
  <si>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</si>
  <si>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</si>
  <si>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</si>
  <si>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</si>
  <si>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</si>
  <si>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</si>
  <si>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</si>
  <si>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</si>
  <si>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</si>
  <si>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</si>
  <si>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</si>
  <si>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</si>
  <si>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</si>
  <si>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</si>
  <si>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</si>
  <si>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</si>
  <si>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</si>
  <si>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</si>
  <si>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</si>
  <si>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</si>
  <si>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</si>
  <si>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</si>
  <si>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</si>
  <si>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</si>
  <si>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</si>
  <si>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</si>
  <si>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</si>
  <si>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</si>
  <si>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</si>
  <si>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</si>
  <si>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</si>
  <si>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</si>
  <si>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</si>
  <si>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</si>
  <si>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</si>
  <si>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</si>
  <si>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</si>
  <si>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</si>
  <si>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</si>
  <si>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</si>
  <si>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</si>
  <si>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</si>
  <si>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</si>
  <si>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</si>
  <si>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</si>
  <si>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</si>
  <si>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</si>
  <si>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</si>
  <si>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</si>
  <si>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</si>
  <si>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</si>
  <si>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</si>
  <si>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</si>
  <si>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</si>
  <si>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</si>
  <si>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</si>
  <si>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</si>
  <si>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</si>
  <si>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</si>
  <si>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</si>
  <si>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</si>
  <si>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</si>
  <si>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</si>
  <si>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</si>
  <si>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</si>
  <si>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</si>
  <si>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</si>
  <si>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</si>
  <si>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</si>
  <si>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</si>
  <si>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</si>
  <si>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</si>
  <si>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</si>
  <si>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</si>
  <si>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</si>
  <si>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</si>
  <si>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</si>
  <si>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</si>
  <si>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</si>
  <si>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</si>
  <si>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</si>
  <si>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</si>
  <si>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</si>
  <si>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</si>
  <si>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</si>
  <si>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</si>
  <si>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</si>
  <si>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</si>
  <si>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</si>
  <si>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</si>
  <si>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</si>
  <si>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</si>
  <si>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</si>
  <si>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</si>
  <si>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</si>
  <si>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</si>
  <si>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</si>
  <si>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</si>
  <si>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</si>
  <si>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</si>
  <si>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</si>
  <si>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</si>
  <si>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</si>
  <si>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</si>
  <si>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</si>
  <si>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</si>
  <si>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</si>
  <si>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</si>
  <si>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</si>
  <si>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</si>
  <si>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</si>
  <si>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</si>
  <si>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</si>
  <si>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</si>
  <si>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</si>
  <si>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</si>
  <si>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</si>
  <si>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</si>
  <si>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</si>
  <si>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</si>
  <si>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</si>
  <si>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</si>
  <si>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</si>
  <si>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</si>
  <si>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</si>
  <si>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</si>
  <si>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</si>
  <si>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</si>
  <si>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</si>
  <si>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</si>
  <si>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</si>
  <si>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</si>
  <si>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</si>
  <si>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</si>
  <si>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</si>
  <si>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</si>
  <si>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</si>
  <si>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</si>
  <si>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</si>
  <si>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</si>
  <si>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</si>
  <si>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</si>
  <si>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</si>
  <si>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</si>
  <si>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</si>
  <si>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</si>
  <si>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</si>
  <si>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</si>
  <si>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</si>
  <si>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</si>
  <si>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</si>
  <si>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</si>
  <si>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</si>
  <si>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</si>
  <si>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</si>
  <si>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</si>
  <si>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</si>
  <si>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</si>
  <si>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</si>
  <si>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</si>
  <si>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</si>
  <si>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</si>
  <si>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</si>
  <si>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</si>
  <si>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</si>
  <si>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</si>
  <si>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</si>
  <si>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</si>
  <si>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</si>
  <si>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</si>
  <si>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</si>
  <si>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</si>
  <si>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</si>
  <si>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</si>
  <si>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</si>
  <si>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</si>
  <si>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</si>
  <si>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</si>
  <si>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</si>
  <si>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</si>
  <si>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</si>
  <si>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</si>
  <si>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</si>
  <si>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</si>
  <si>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</si>
  <si>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</si>
  <si>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1044.HK</t>
    <phoneticPr fontId="20" type="noConversion"/>
  </si>
  <si>
    <t>C0007</t>
    <phoneticPr fontId="20" type="noConversion"/>
  </si>
  <si>
    <t>CNY</t>
    <phoneticPr fontId="20" type="noConversion"/>
  </si>
  <si>
    <t>HKD</t>
    <phoneticPr fontId="20" type="noConversion"/>
  </si>
  <si>
    <t>恒安國際</t>
    <phoneticPr fontId="20" type="noConversion"/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</si>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</sst>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  <numFmt numFmtId="175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64" fontId="4" fillId="0" borderId="0" xfId="0" applyNumberFormat="1" applyFont="1" applyAlignment="1">
      <alignment horizontal="center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69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73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74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73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73" fontId="2" fillId="8" borderId="17" xfId="0" applyNumberFormat="1" applyFont="1" applyFill="1" applyBorder="1" applyAlignment="1">
      <alignment horizontal="right"/>
    </xf>
    <xf numFmtId="169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68" fontId="1" fillId="0" borderId="14" xfId="0" applyNumberFormat="1" applyFont="1" applyBorder="1" applyAlignment="1">
      <alignment horizontal="right"/>
    </xf>
    <xf numFmtId="175" fontId="2" fillId="8" borderId="3" xfId="0" applyNumberFormat="1" applyFont="1" applyFill="1" applyBorder="1" applyAlignment="1">
      <alignment horizontal="center"/>
    </xf>
    <xf numFmtId="175" fontId="2" fillId="0" borderId="0" xfId="0" applyNumberFormat="1" applyFont="1" applyAlignment="1">
      <alignment horizontal="right"/>
    </xf>
    <xf numFmtId="0" fontId="29" fillId="9" borderId="14" xfId="0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0.66296240447635002</c:v>
                </c:pt>
                <c:pt idx="1">
                  <c:v>0.21326576274860384</c:v>
                </c:pt>
                <c:pt idx="2">
                  <c:v>3.8544925959634583E-4</c:v>
                </c:pt>
                <c:pt idx="3">
                  <c:v>0</c:v>
                </c:pt>
                <c:pt idx="4">
                  <c:v>2.7203750464491323E-2</c:v>
                </c:pt>
                <c:pt idx="5">
                  <c:v>0.01</c:v>
                </c:pt>
                <c:pt idx="6">
                  <c:v>8.6182633050958496E-2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C17" sqref="C17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5" ht="16" x14ac:dyDescent="0.2">
      <c r="A2" s="5"/>
      <c r="B2" s="6" t="s">
        <v>214</v>
      </c>
    </row>
    <row r="4" spans="1:5" ht="14" x14ac:dyDescent="0.15">
      <c r="B4" s="141" t="s">
        <v>194</v>
      </c>
      <c r="C4" s="188" t="s">
        <v>265</v>
      </c>
    </row>
    <row r="5" spans="1:5" ht="17" x14ac:dyDescent="0.25">
      <c r="B5" s="141" t="s">
        <v>195</v>
      </c>
      <c r="C5" s="271" t="s">
        <v>269</v>
      </c>
    </row>
    <row r="6" spans="1:5" ht="14" x14ac:dyDescent="0.15">
      <c r="B6" s="141" t="s">
        <v>163</v>
      </c>
      <c r="C6" s="189">
        <v>45637</v>
      </c>
    </row>
    <row r="7" spans="1:5" ht="14" x14ac:dyDescent="0.15">
      <c r="B7" s="140" t="s">
        <v>3</v>
      </c>
      <c r="C7" s="190">
        <v>8</v>
      </c>
    </row>
    <row r="8" spans="1:5" ht="14" x14ac:dyDescent="0.15">
      <c r="B8" s="140" t="s">
        <v>215</v>
      </c>
      <c r="C8" s="191" t="s">
        <v>270</v>
      </c>
      <c r="E8" s="267"/>
    </row>
    <row r="9" spans="1:5" ht="14" x14ac:dyDescent="0.15">
      <c r="B9" s="140" t="s">
        <v>216</v>
      </c>
      <c r="C9" s="192" t="s">
        <v>266</v>
      </c>
    </row>
    <row r="10" spans="1:5" ht="14" x14ac:dyDescent="0.15">
      <c r="B10" s="140" t="s">
        <v>217</v>
      </c>
      <c r="C10" s="193">
        <v>1162120917</v>
      </c>
    </row>
    <row r="11" spans="1:5" ht="14" x14ac:dyDescent="0.15">
      <c r="B11" s="140" t="s">
        <v>218</v>
      </c>
      <c r="C11" s="192" t="s">
        <v>267</v>
      </c>
    </row>
    <row r="12" spans="1:5" ht="14" x14ac:dyDescent="0.15">
      <c r="B12" s="218" t="s">
        <v>9</v>
      </c>
      <c r="C12" s="219">
        <v>45291</v>
      </c>
    </row>
    <row r="13" spans="1:5" ht="14" x14ac:dyDescent="0.15">
      <c r="B13" s="218" t="s">
        <v>10</v>
      </c>
      <c r="C13" s="220">
        <v>1000</v>
      </c>
    </row>
    <row r="14" spans="1:5" ht="14" x14ac:dyDescent="0.15">
      <c r="B14" s="218" t="s">
        <v>219</v>
      </c>
      <c r="C14" s="219">
        <v>45473</v>
      </c>
    </row>
    <row r="15" spans="1:5" ht="14" x14ac:dyDescent="0.15">
      <c r="B15" s="218" t="s">
        <v>256</v>
      </c>
      <c r="C15" s="176" t="s">
        <v>261</v>
      </c>
    </row>
    <row r="16" spans="1:5" ht="14" x14ac:dyDescent="0.15">
      <c r="B16" s="222" t="s">
        <v>96</v>
      </c>
      <c r="C16" s="223">
        <v>0.25</v>
      </c>
      <c r="D16" s="24"/>
    </row>
    <row r="17" spans="2:13" ht="14" x14ac:dyDescent="0.15">
      <c r="B17" s="240" t="s">
        <v>224</v>
      </c>
      <c r="C17" s="242" t="s">
        <v>245</v>
      </c>
      <c r="D17" s="24"/>
    </row>
    <row r="18" spans="2:13" ht="14" x14ac:dyDescent="0.15">
      <c r="B18" s="240" t="s">
        <v>238</v>
      </c>
      <c r="C18" s="242" t="s">
        <v>245</v>
      </c>
      <c r="D18" s="24"/>
    </row>
    <row r="19" spans="2:13" ht="14" x14ac:dyDescent="0.15">
      <c r="B19" s="240" t="s">
        <v>239</v>
      </c>
      <c r="C19" s="242" t="s">
        <v>245</v>
      </c>
      <c r="D19" s="24"/>
    </row>
    <row r="20" spans="2:13" ht="14" x14ac:dyDescent="0.15">
      <c r="B20" s="241" t="s">
        <v>228</v>
      </c>
      <c r="C20" s="242" t="s">
        <v>245</v>
      </c>
      <c r="D20" s="24"/>
    </row>
    <row r="21" spans="2:13" ht="14" x14ac:dyDescent="0.15">
      <c r="B21" s="224" t="s">
        <v>231</v>
      </c>
      <c r="C21" s="242" t="s">
        <v>245</v>
      </c>
      <c r="D21" s="24"/>
    </row>
    <row r="22" spans="2:13" ht="84" x14ac:dyDescent="0.15">
      <c r="B22" s="226" t="s">
        <v>230</v>
      </c>
      <c r="C22" s="243" t="s">
        <v>259</v>
      </c>
      <c r="D22" s="24"/>
    </row>
    <row r="24" spans="2:13" ht="15" x14ac:dyDescent="0.15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5" x14ac:dyDescent="0.15">
      <c r="B25" s="94" t="s">
        <v>11</v>
      </c>
      <c r="C25" s="149">
        <v>23767936</v>
      </c>
      <c r="D25" s="149">
        <v>22615878</v>
      </c>
      <c r="E25" s="149">
        <v>20790144</v>
      </c>
      <c r="F25" s="149">
        <v>22374001</v>
      </c>
      <c r="G25" s="149"/>
      <c r="H25" s="149"/>
      <c r="I25" s="149"/>
      <c r="J25" s="149"/>
      <c r="K25" s="149"/>
      <c r="L25" s="149"/>
      <c r="M25" s="149"/>
    </row>
    <row r="26" spans="2:13" ht="15" x14ac:dyDescent="0.15">
      <c r="B26" s="97" t="s">
        <v>105</v>
      </c>
      <c r="C26" s="150">
        <v>15757248</v>
      </c>
      <c r="D26" s="150">
        <v>14926379</v>
      </c>
      <c r="E26" s="150">
        <v>13017826</v>
      </c>
      <c r="F26" s="150">
        <v>12918146</v>
      </c>
      <c r="G26" s="150"/>
      <c r="H26" s="150"/>
      <c r="I26" s="150"/>
      <c r="J26" s="150"/>
      <c r="K26" s="150"/>
      <c r="L26" s="150"/>
      <c r="M26" s="150"/>
    </row>
    <row r="27" spans="2:13" ht="15" x14ac:dyDescent="0.15">
      <c r="B27" s="97" t="s">
        <v>103</v>
      </c>
      <c r="C27" s="150">
        <v>5068887</v>
      </c>
      <c r="D27" s="150">
        <v>4888813</v>
      </c>
      <c r="E27" s="150">
        <v>4526293</v>
      </c>
      <c r="F27" s="150">
        <v>4832922</v>
      </c>
      <c r="G27" s="150"/>
      <c r="H27" s="150"/>
      <c r="I27" s="150"/>
      <c r="J27" s="150"/>
      <c r="K27" s="150"/>
      <c r="L27" s="150"/>
      <c r="M27" s="150"/>
    </row>
    <row r="28" spans="2:13" ht="15" x14ac:dyDescent="0.15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5" x14ac:dyDescent="0.15">
      <c r="B29" s="97" t="s">
        <v>257</v>
      </c>
      <c r="C29" s="150">
        <v>646577</v>
      </c>
      <c r="D29" s="150">
        <v>468159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4" x14ac:dyDescent="0.15">
      <c r="B30" s="99" t="s">
        <v>110</v>
      </c>
      <c r="C30" s="150">
        <v>6871</v>
      </c>
      <c r="D30" s="150">
        <v>24051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5" x14ac:dyDescent="0.15">
      <c r="B31" s="97" t="s">
        <v>109</v>
      </c>
      <c r="C31" s="150">
        <f>4126200-4644583</f>
        <v>-518383</v>
      </c>
      <c r="D31" s="150">
        <f>3352219-4803030</f>
        <v>-1450811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5" x14ac:dyDescent="0.15">
      <c r="B32" s="97" t="s">
        <v>104</v>
      </c>
      <c r="C32" s="150">
        <f>808830+5967+54201+30822</f>
        <v>899820</v>
      </c>
      <c r="D32" s="150">
        <f>793670+53694+6219+33410</f>
        <v>886993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5" x14ac:dyDescent="0.15">
      <c r="B33" s="97" t="s">
        <v>107</v>
      </c>
      <c r="C33" s="150">
        <f>1469761+50745</f>
        <v>1520506</v>
      </c>
      <c r="D33" s="150">
        <f>1121618+123039</f>
        <v>1244657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5" x14ac:dyDescent="0.15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5" x14ac:dyDescent="0.15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5" x14ac:dyDescent="0.15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5" x14ac:dyDescent="0.15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5" x14ac:dyDescent="0.15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5" x14ac:dyDescent="0.15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5" x14ac:dyDescent="0.15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5" x14ac:dyDescent="0.15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5" x14ac:dyDescent="0.15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5" x14ac:dyDescent="0.15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4" x14ac:dyDescent="0.15">
      <c r="B44" s="74" t="s">
        <v>207</v>
      </c>
      <c r="C44" s="250">
        <f>0.7+0.7</f>
        <v>1.4</v>
      </c>
      <c r="D44" s="250">
        <f>0.7+0.7</f>
        <v>1.4</v>
      </c>
      <c r="E44" s="250">
        <f>0.7+0.7</f>
        <v>1.4</v>
      </c>
      <c r="F44" s="250">
        <f>1.3+1.2</f>
        <v>2.5</v>
      </c>
      <c r="G44" s="250"/>
      <c r="H44" s="250"/>
      <c r="I44" s="250"/>
      <c r="J44" s="250"/>
      <c r="K44" s="250"/>
      <c r="L44" s="250"/>
      <c r="M44" s="250"/>
    </row>
    <row r="45" spans="2:13" ht="14" x14ac:dyDescent="0.15">
      <c r="B45" s="74" t="s">
        <v>253</v>
      </c>
      <c r="C45" s="152">
        <f>IF(C44="","",C44*Exchange_Rate/Dashboard!$G$3)</f>
        <v>6.569618474670319E-2</v>
      </c>
      <c r="D45" s="152">
        <f>IF(D44="","",D44*Exchange_Rate/Dashboard!$G$3)</f>
        <v>6.569618474670319E-2</v>
      </c>
      <c r="E45" s="152">
        <f>IF(E44="","",E44*Exchange_Rate/Dashboard!$G$3)</f>
        <v>6.569618474670319E-2</v>
      </c>
      <c r="F45" s="152">
        <f>IF(F44="","",F44*Exchange_Rate/Dashboard!$G$3)</f>
        <v>0.11731461561911286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4" x14ac:dyDescent="0.15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4" x14ac:dyDescent="0.15">
      <c r="B48" s="3" t="s">
        <v>37</v>
      </c>
      <c r="C48" s="59"/>
      <c r="D48" s="60">
        <v>0.9</v>
      </c>
      <c r="E48" s="112"/>
    </row>
    <row r="49" spans="2:5" ht="14" x14ac:dyDescent="0.15">
      <c r="B49" s="1" t="s">
        <v>135</v>
      </c>
      <c r="C49" s="59"/>
      <c r="D49" s="60">
        <v>0.8</v>
      </c>
      <c r="E49" s="112"/>
    </row>
    <row r="50" spans="2:5" ht="14" x14ac:dyDescent="0.15">
      <c r="B50" s="3" t="s">
        <v>116</v>
      </c>
      <c r="C50" s="59"/>
      <c r="D50" s="60">
        <f>D51</f>
        <v>0.6</v>
      </c>
      <c r="E50" s="112"/>
    </row>
    <row r="51" spans="2:5" ht="14" x14ac:dyDescent="0.15">
      <c r="B51" s="3" t="s">
        <v>41</v>
      </c>
      <c r="C51" s="59"/>
      <c r="D51" s="60">
        <v>0.6</v>
      </c>
      <c r="E51" s="112"/>
    </row>
    <row r="52" spans="2:5" ht="14" x14ac:dyDescent="0.15">
      <c r="B52" s="3" t="s">
        <v>43</v>
      </c>
      <c r="C52" s="59"/>
      <c r="D52" s="60">
        <v>0.5</v>
      </c>
      <c r="E52" s="112"/>
    </row>
    <row r="53" spans="2:5" ht="14" x14ac:dyDescent="0.15">
      <c r="B53" s="1" t="s">
        <v>158</v>
      </c>
      <c r="C53" s="59"/>
      <c r="D53" s="60">
        <f>D50</f>
        <v>0.6</v>
      </c>
      <c r="E53" s="112"/>
    </row>
    <row r="54" spans="2:5" ht="14" x14ac:dyDescent="0.15">
      <c r="B54" s="3" t="s">
        <v>263</v>
      </c>
      <c r="C54" s="59"/>
      <c r="D54" s="60">
        <v>0.1</v>
      </c>
      <c r="E54" s="112"/>
    </row>
    <row r="55" spans="2:5" ht="14" x14ac:dyDescent="0.15">
      <c r="B55" s="3" t="s">
        <v>46</v>
      </c>
      <c r="C55" s="59"/>
      <c r="D55" s="60">
        <f>D52</f>
        <v>0.5</v>
      </c>
      <c r="E55" s="112"/>
    </row>
    <row r="56" spans="2:5" ht="14" x14ac:dyDescent="0.15">
      <c r="B56" s="1" t="s">
        <v>47</v>
      </c>
      <c r="C56" s="59"/>
      <c r="D56" s="60">
        <f>D50</f>
        <v>0.6</v>
      </c>
      <c r="E56" s="221" t="s">
        <v>70</v>
      </c>
    </row>
    <row r="57" spans="2:5" ht="14" x14ac:dyDescent="0.15">
      <c r="B57" s="3" t="s">
        <v>119</v>
      </c>
      <c r="C57" s="59"/>
      <c r="D57" s="60">
        <v>0.6</v>
      </c>
      <c r="E57" s="221" t="s">
        <v>45</v>
      </c>
    </row>
    <row r="58" spans="2:5" ht="14" x14ac:dyDescent="0.15">
      <c r="B58" s="3" t="s">
        <v>49</v>
      </c>
      <c r="C58" s="59"/>
      <c r="D58" s="60">
        <f>D48</f>
        <v>0.9</v>
      </c>
      <c r="E58" s="112"/>
    </row>
    <row r="59" spans="2:5" ht="14" x14ac:dyDescent="0.15">
      <c r="B59" s="35" t="s">
        <v>50</v>
      </c>
      <c r="C59" s="120"/>
      <c r="D59" s="195">
        <f>D70</f>
        <v>0.05</v>
      </c>
      <c r="E59" s="112"/>
    </row>
    <row r="60" spans="2:5" ht="14" x14ac:dyDescent="0.15">
      <c r="B60" s="3" t="s">
        <v>60</v>
      </c>
      <c r="C60" s="59"/>
      <c r="D60" s="60">
        <f>D49</f>
        <v>0.8</v>
      </c>
      <c r="E60" s="112"/>
    </row>
    <row r="61" spans="2:5" ht="14" x14ac:dyDescent="0.15">
      <c r="B61" s="3" t="s">
        <v>62</v>
      </c>
      <c r="C61" s="59"/>
      <c r="D61" s="60">
        <f>D51</f>
        <v>0.6</v>
      </c>
      <c r="E61" s="112"/>
    </row>
    <row r="62" spans="2:5" ht="14" x14ac:dyDescent="0.15">
      <c r="B62" s="3" t="s">
        <v>64</v>
      </c>
      <c r="C62" s="59"/>
      <c r="D62" s="60">
        <f>D52</f>
        <v>0.5</v>
      </c>
      <c r="E62" s="112"/>
    </row>
    <row r="63" spans="2:5" ht="14" x14ac:dyDescent="0.15">
      <c r="B63" s="1" t="s">
        <v>159</v>
      </c>
      <c r="C63" s="59"/>
      <c r="D63" s="60">
        <f>D62</f>
        <v>0.5</v>
      </c>
      <c r="E63" s="112"/>
    </row>
    <row r="64" spans="2:5" ht="14" x14ac:dyDescent="0.15">
      <c r="B64" s="3" t="s">
        <v>262</v>
      </c>
      <c r="C64" s="59"/>
      <c r="D64" s="60">
        <v>0.4</v>
      </c>
      <c r="E64" s="112"/>
    </row>
    <row r="65" spans="2:5" ht="14" x14ac:dyDescent="0.15">
      <c r="B65" s="3" t="s">
        <v>69</v>
      </c>
      <c r="C65" s="59"/>
      <c r="D65" s="60">
        <v>0.1</v>
      </c>
      <c r="E65" s="221" t="s">
        <v>70</v>
      </c>
    </row>
    <row r="66" spans="2:5" ht="14" x14ac:dyDescent="0.15">
      <c r="B66" s="3" t="s">
        <v>71</v>
      </c>
      <c r="C66" s="59"/>
      <c r="D66" s="60">
        <v>0.2</v>
      </c>
      <c r="E66" s="221" t="s">
        <v>70</v>
      </c>
    </row>
    <row r="67" spans="2:5" ht="14" x14ac:dyDescent="0.15">
      <c r="B67" s="1" t="s">
        <v>48</v>
      </c>
      <c r="C67" s="59"/>
      <c r="D67" s="60">
        <f>D65</f>
        <v>0.1</v>
      </c>
      <c r="E67" s="221" t="s">
        <v>45</v>
      </c>
    </row>
    <row r="68" spans="2:5" ht="14" x14ac:dyDescent="0.15">
      <c r="B68" s="3" t="s">
        <v>118</v>
      </c>
      <c r="C68" s="59"/>
      <c r="D68" s="60">
        <f>D65</f>
        <v>0.1</v>
      </c>
      <c r="E68" s="112"/>
    </row>
    <row r="69" spans="2:5" ht="14" x14ac:dyDescent="0.15">
      <c r="B69" s="3" t="s">
        <v>72</v>
      </c>
      <c r="C69" s="59"/>
      <c r="D69" s="60">
        <f>D70</f>
        <v>0.05</v>
      </c>
      <c r="E69" s="112"/>
    </row>
    <row r="70" spans="2:5" ht="14" x14ac:dyDescent="0.15">
      <c r="B70" s="3" t="s">
        <v>73</v>
      </c>
      <c r="C70" s="59"/>
      <c r="D70" s="60">
        <v>0.05</v>
      </c>
      <c r="E70" s="112"/>
    </row>
    <row r="71" spans="2:5" ht="14" x14ac:dyDescent="0.15">
      <c r="B71" s="3" t="s">
        <v>74</v>
      </c>
      <c r="C71" s="59"/>
      <c r="D71" s="60">
        <f>D58</f>
        <v>0.9</v>
      </c>
      <c r="E71" s="112"/>
    </row>
    <row r="72" spans="2:5" ht="15" thickBot="1" x14ac:dyDescent="0.2">
      <c r="B72" s="246" t="s">
        <v>75</v>
      </c>
      <c r="C72" s="247"/>
      <c r="D72" s="248">
        <v>0</v>
      </c>
      <c r="E72" s="249"/>
    </row>
    <row r="73" spans="2:5" ht="14" x14ac:dyDescent="0.15">
      <c r="B73" s="3" t="s">
        <v>38</v>
      </c>
      <c r="C73" s="59"/>
    </row>
    <row r="74" spans="2:5" ht="14" x14ac:dyDescent="0.15">
      <c r="B74" s="3" t="s">
        <v>39</v>
      </c>
      <c r="C74" s="59"/>
    </row>
    <row r="75" spans="2:5" ht="14" x14ac:dyDescent="0.15">
      <c r="B75" s="3" t="s">
        <v>40</v>
      </c>
      <c r="C75" s="59"/>
    </row>
    <row r="76" spans="2:5" ht="14" x14ac:dyDescent="0.15">
      <c r="B76" s="86" t="s">
        <v>42</v>
      </c>
      <c r="C76" s="120"/>
    </row>
    <row r="77" spans="2:5" ht="15" thickBot="1" x14ac:dyDescent="0.2">
      <c r="B77" s="80" t="s">
        <v>15</v>
      </c>
      <c r="C77" s="83"/>
    </row>
    <row r="78" spans="2:5" ht="15" thickTop="1" x14ac:dyDescent="0.15">
      <c r="B78" s="3" t="s">
        <v>61</v>
      </c>
      <c r="C78" s="59"/>
    </row>
    <row r="79" spans="2:5" ht="14" x14ac:dyDescent="0.15">
      <c r="B79" s="3" t="s">
        <v>63</v>
      </c>
      <c r="C79" s="59"/>
    </row>
    <row r="80" spans="2:5" ht="14" x14ac:dyDescent="0.15">
      <c r="B80" s="3" t="s">
        <v>65</v>
      </c>
      <c r="C80" s="59"/>
    </row>
    <row r="81" spans="2:8" ht="14" x14ac:dyDescent="0.15">
      <c r="B81" s="86" t="s">
        <v>66</v>
      </c>
      <c r="C81" s="120"/>
    </row>
    <row r="82" spans="2:8" ht="15" thickBot="1" x14ac:dyDescent="0.2">
      <c r="B82" s="80" t="s">
        <v>84</v>
      </c>
      <c r="C82" s="83"/>
    </row>
    <row r="83" spans="2:8" ht="15" thickTop="1" x14ac:dyDescent="0.15">
      <c r="B83" s="73" t="s">
        <v>220</v>
      </c>
      <c r="C83" s="59"/>
    </row>
    <row r="84" spans="2:8" ht="14" x14ac:dyDescent="0.15">
      <c r="B84" s="20" t="s">
        <v>90</v>
      </c>
      <c r="C84" s="59"/>
    </row>
    <row r="85" spans="2:8" ht="14" x14ac:dyDescent="0.15">
      <c r="B85" s="20" t="s">
        <v>92</v>
      </c>
      <c r="C85" s="59"/>
    </row>
    <row r="86" spans="2:8" ht="14" x14ac:dyDescent="0.15">
      <c r="B86" s="10" t="s">
        <v>250</v>
      </c>
      <c r="C86" s="197">
        <v>5</v>
      </c>
    </row>
    <row r="87" spans="2:8" ht="14" x14ac:dyDescent="0.15">
      <c r="B87" s="10" t="s">
        <v>248</v>
      </c>
      <c r="C87" s="236" t="s">
        <v>251</v>
      </c>
      <c r="D87" s="269">
        <v>0.02</v>
      </c>
    </row>
    <row r="89" spans="2:8" ht="14" x14ac:dyDescent="0.15">
      <c r="B89" s="106" t="s">
        <v>127</v>
      </c>
      <c r="C89" s="272">
        <f>C24</f>
        <v>45291</v>
      </c>
      <c r="D89" s="272"/>
      <c r="E89" s="89" t="s">
        <v>206</v>
      </c>
      <c r="F89" s="89" t="s">
        <v>205</v>
      </c>
      <c r="H89" s="31"/>
    </row>
    <row r="90" spans="2:8" ht="14" x14ac:dyDescent="0.15">
      <c r="B90" s="12" t="str">
        <f>"(Numbers in "&amp;Data!C4&amp;Dashboard!G6&amp;")"</f>
        <v>(Numbers in 1000CNY)</v>
      </c>
      <c r="C90" s="273" t="s">
        <v>100</v>
      </c>
      <c r="D90" s="273"/>
      <c r="E90" s="235" t="s">
        <v>101</v>
      </c>
      <c r="F90" s="255" t="s">
        <v>101</v>
      </c>
    </row>
    <row r="91" spans="2:8" ht="14" x14ac:dyDescent="0.15">
      <c r="B91" s="3" t="s">
        <v>126</v>
      </c>
      <c r="C91" s="77">
        <f>C25</f>
        <v>23767936</v>
      </c>
      <c r="D91" s="209"/>
      <c r="E91" s="251">
        <f>C91</f>
        <v>23767936</v>
      </c>
      <c r="F91" s="251">
        <f>C91</f>
        <v>23767936</v>
      </c>
    </row>
    <row r="92" spans="2:8" ht="14" x14ac:dyDescent="0.15">
      <c r="B92" s="104" t="s">
        <v>105</v>
      </c>
      <c r="C92" s="77">
        <f>C26</f>
        <v>15757248</v>
      </c>
      <c r="D92" s="159">
        <f>C92/C91</f>
        <v>0.66296240447635002</v>
      </c>
      <c r="E92" s="252">
        <f>E91*D92</f>
        <v>15757248</v>
      </c>
      <c r="F92" s="252">
        <f>F91*D92</f>
        <v>15757248</v>
      </c>
    </row>
    <row r="93" spans="2:8" ht="14" x14ac:dyDescent="0.15">
      <c r="B93" s="104" t="s">
        <v>247</v>
      </c>
      <c r="C93" s="77">
        <f>C27+C28</f>
        <v>5068887</v>
      </c>
      <c r="D93" s="159">
        <f>C93/C91</f>
        <v>0.21326576274860384</v>
      </c>
      <c r="E93" s="252">
        <f>E91*D93</f>
        <v>5068887</v>
      </c>
      <c r="F93" s="252">
        <f>F91*D93</f>
        <v>5068887</v>
      </c>
    </row>
    <row r="94" spans="2:8" ht="14" x14ac:dyDescent="0.15">
      <c r="B94" s="104" t="s">
        <v>257</v>
      </c>
      <c r="C94" s="77">
        <f>C29</f>
        <v>646577</v>
      </c>
      <c r="D94" s="159">
        <f>C94/C91</f>
        <v>2.7203750464491323E-2</v>
      </c>
      <c r="E94" s="253"/>
      <c r="F94" s="252">
        <f>F91*D94</f>
        <v>646577</v>
      </c>
    </row>
    <row r="95" spans="2:8" ht="14" x14ac:dyDescent="0.15">
      <c r="B95" s="28" t="s">
        <v>246</v>
      </c>
      <c r="C95" s="77">
        <f>ABS(MAX(C33,0)-C32)</f>
        <v>620686</v>
      </c>
      <c r="D95" s="159">
        <f>C95/C91</f>
        <v>2.6114425754091564E-2</v>
      </c>
      <c r="E95" s="252">
        <f>E91*2%</f>
        <v>475358.72000000003</v>
      </c>
      <c r="F95" s="252">
        <f>F91*1%</f>
        <v>237679.36000000002</v>
      </c>
    </row>
    <row r="96" spans="2:8" ht="14" x14ac:dyDescent="0.15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4" x14ac:dyDescent="0.15">
      <c r="B97" s="73" t="s">
        <v>172</v>
      </c>
      <c r="C97" s="77">
        <f>MAX(C30,0)/(1-C16)</f>
        <v>9161.3333333333339</v>
      </c>
      <c r="D97" s="159">
        <f>C97/C91</f>
        <v>3.8544925959634583E-4</v>
      </c>
      <c r="E97" s="253"/>
      <c r="F97" s="252">
        <f>F91*D97</f>
        <v>9161.3333333333339</v>
      </c>
    </row>
    <row r="98" spans="2:7" ht="14" x14ac:dyDescent="0.15">
      <c r="B98" s="86" t="s">
        <v>207</v>
      </c>
      <c r="C98" s="237">
        <f>C44</f>
        <v>1.4</v>
      </c>
      <c r="D98" s="266"/>
      <c r="E98" s="254">
        <f>F98</f>
        <v>1.4</v>
      </c>
      <c r="F98" s="254">
        <f>C98</f>
        <v>1.4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4" sqref="C14"/>
    </sheetView>
  </sheetViews>
  <sheetFormatPr baseColWidth="10" defaultColWidth="12.33203125" defaultRowHeight="15" customHeight="1" x14ac:dyDescent="0.15"/>
  <cols>
    <col min="1" max="1" width="2.33203125" style="1" customWidth="1"/>
    <col min="2" max="2" width="30.6640625" style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1044.HK : 恒安國際</v>
      </c>
      <c r="D2" s="87"/>
      <c r="E2" s="7"/>
      <c r="F2" s="7"/>
      <c r="G2" s="86"/>
      <c r="H2" s="86"/>
    </row>
    <row r="3" spans="1:10" ht="15.75" customHeight="1" x14ac:dyDescent="0.15">
      <c r="B3" s="3" t="s">
        <v>194</v>
      </c>
      <c r="C3" s="278" t="str">
        <f>Inputs!C4</f>
        <v>1044.HK</v>
      </c>
      <c r="D3" s="279"/>
      <c r="E3" s="87"/>
      <c r="F3" s="3" t="s">
        <v>1</v>
      </c>
      <c r="G3" s="132">
        <v>22.8</v>
      </c>
      <c r="H3" s="134" t="s">
        <v>268</v>
      </c>
    </row>
    <row r="4" spans="1:10" ht="15.75" customHeight="1" x14ac:dyDescent="0.15">
      <c r="B4" s="35" t="s">
        <v>195</v>
      </c>
      <c r="C4" s="280" t="str">
        <f>Inputs!C5</f>
        <v>恒安國際</v>
      </c>
      <c r="D4" s="281"/>
      <c r="E4" s="87"/>
      <c r="F4" s="3" t="s">
        <v>2</v>
      </c>
      <c r="G4" s="284">
        <f>Inputs!C10</f>
        <v>1162120917</v>
      </c>
      <c r="H4" s="284"/>
      <c r="I4" s="39"/>
    </row>
    <row r="5" spans="1:10" ht="15.75" customHeight="1" x14ac:dyDescent="0.15">
      <c r="B5" s="3" t="s">
        <v>163</v>
      </c>
      <c r="C5" s="282">
        <f>Inputs!C6</f>
        <v>45637</v>
      </c>
      <c r="D5" s="283"/>
      <c r="E5" s="34"/>
      <c r="F5" s="35" t="s">
        <v>99</v>
      </c>
      <c r="G5" s="276">
        <f>G3*G4/1000000</f>
        <v>26496.356907600002</v>
      </c>
      <c r="H5" s="276"/>
      <c r="I5" s="38"/>
      <c r="J5" s="28"/>
    </row>
    <row r="6" spans="1:10" ht="15.75" customHeight="1" x14ac:dyDescent="0.15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7" t="str">
        <f>Inputs!C11</f>
        <v>CNY</v>
      </c>
      <c r="H6" s="277"/>
      <c r="I6" s="38"/>
    </row>
    <row r="7" spans="1:10" ht="15.75" customHeight="1" x14ac:dyDescent="0.15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39" t="s">
        <v>190</v>
      </c>
      <c r="F9" s="143" t="s">
        <v>185</v>
      </c>
    </row>
    <row r="10" spans="1:10" ht="15.75" customHeight="1" x14ac:dyDescent="0.15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2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15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15"/>
    <row r="14" spans="1:10" ht="15.75" customHeight="1" x14ac:dyDescent="0.15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15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2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15">
      <c r="B17" s="87" t="s">
        <v>255</v>
      </c>
      <c r="C17" s="175">
        <v>8.0500000000000002E-2</v>
      </c>
      <c r="D17" s="176"/>
    </row>
    <row r="18" spans="1:8" ht="15.75" customHeight="1" x14ac:dyDescent="0.15"/>
    <row r="19" spans="1:8" ht="15.75" customHeight="1" x14ac:dyDescent="0.15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15">
      <c r="B20" s="137" t="s">
        <v>169</v>
      </c>
      <c r="C20" s="171">
        <f>Fin_Analysis!I75</f>
        <v>0.66296240447635002</v>
      </c>
      <c r="F20" s="87" t="s">
        <v>211</v>
      </c>
      <c r="G20" s="172">
        <v>0.15</v>
      </c>
    </row>
    <row r="21" spans="1:8" ht="15.75" customHeight="1" x14ac:dyDescent="0.15">
      <c r="B21" s="137" t="s">
        <v>244</v>
      </c>
      <c r="C21" s="171">
        <f>Fin_Analysis!I77</f>
        <v>0.21326576274860384</v>
      </c>
      <c r="F21" s="87"/>
      <c r="G21" s="29"/>
    </row>
    <row r="22" spans="1:8" ht="15.75" customHeight="1" x14ac:dyDescent="0.15">
      <c r="B22" s="137" t="s">
        <v>191</v>
      </c>
      <c r="C22" s="171">
        <f>Fin_Analysis!I78</f>
        <v>3.8544925959634583E-4</v>
      </c>
      <c r="F22" s="142" t="s">
        <v>184</v>
      </c>
    </row>
    <row r="23" spans="1:8" ht="15.75" customHeight="1" x14ac:dyDescent="0.15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15">
      <c r="B24" s="137" t="s">
        <v>170</v>
      </c>
      <c r="C24" s="171">
        <f>Fin_Analysis!I81</f>
        <v>2.7203750464491323E-2</v>
      </c>
      <c r="F24" s="140" t="s">
        <v>260</v>
      </c>
      <c r="G24" s="268">
        <f>G3/(Fin_Analysis!H86*G7)</f>
        <v>16.120062211583353</v>
      </c>
    </row>
    <row r="25" spans="1:8" ht="15.75" customHeight="1" x14ac:dyDescent="0.15">
      <c r="B25" s="137" t="s">
        <v>243</v>
      </c>
      <c r="C25" s="171">
        <f>Fin_Analysis!I82</f>
        <v>0.01</v>
      </c>
      <c r="F25" s="140" t="s">
        <v>174</v>
      </c>
      <c r="G25" s="171">
        <f>Fin_Analysis!I88</f>
        <v>1.0590265851805289</v>
      </c>
    </row>
    <row r="26" spans="1:8" ht="15.75" customHeight="1" x14ac:dyDescent="0.15">
      <c r="B26" s="138" t="s">
        <v>173</v>
      </c>
      <c r="C26" s="171">
        <f>Fin_Analysis!I83</f>
        <v>8.6182633050958496E-2</v>
      </c>
      <c r="F26" s="141" t="s">
        <v>193</v>
      </c>
      <c r="G26" s="178">
        <f>Fin_Analysis!H88*Exchange_Rate/G3</f>
        <v>6.569618474670319E-2</v>
      </c>
    </row>
    <row r="27" spans="1:8" ht="15.75" customHeight="1" x14ac:dyDescent="0.15"/>
    <row r="28" spans="1:8" ht="15.75" customHeight="1" x14ac:dyDescent="0.15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4" t="s">
        <v>258</v>
      </c>
      <c r="H28" s="274"/>
    </row>
    <row r="29" spans="1:8" ht="15.75" customHeight="1" x14ac:dyDescent="0.15">
      <c r="B29" s="87" t="s">
        <v>168</v>
      </c>
      <c r="C29" s="130">
        <f>IF(Fin_Analysis!C108="Profit",Fin_Analysis!D100,IF(Fin_Analysis!C108="Dividend",Fin_Analysis!D103,Fin_Analysis!D106))</f>
        <v>12.376917790005844</v>
      </c>
      <c r="D29" s="129">
        <f>G29*(1+G20)</f>
        <v>24.664928902613113</v>
      </c>
      <c r="E29" s="87"/>
      <c r="F29" s="131">
        <f>IF(Fin_Analysis!C108="Profit",Fin_Analysis!F100,IF(Fin_Analysis!C108="Dividend",Fin_Analysis!F103,Fin_Analysis!F106))</f>
        <v>14.561079752948054</v>
      </c>
      <c r="G29" s="275">
        <f>IF(Fin_Analysis!C108="Profit",Fin_Analysis!I100,IF(Fin_Analysis!C108="Dividend",Fin_Analysis!I103,Fin_Analysis!I106))</f>
        <v>21.447764263141838</v>
      </c>
      <c r="H29" s="275"/>
    </row>
    <row r="30" spans="1:8" ht="15.75" customHeight="1" x14ac:dyDescent="0.15"/>
    <row r="31" spans="1:8" ht="15.75" customHeight="1" x14ac:dyDescent="0.2">
      <c r="A31" s="5"/>
      <c r="B31" s="6" t="s">
        <v>222</v>
      </c>
      <c r="C31"/>
    </row>
    <row r="32" spans="1:8" ht="15.75" customHeight="1" x14ac:dyDescent="0.15">
      <c r="A32"/>
      <c r="B32" s="196" t="s">
        <v>223</v>
      </c>
      <c r="C32" s="224"/>
    </row>
    <row r="33" spans="1:3" ht="15.75" customHeight="1" x14ac:dyDescent="0.15">
      <c r="A33"/>
      <c r="B33" s="20" t="s">
        <v>224</v>
      </c>
      <c r="C33" s="245" t="str">
        <f>Inputs!C17</f>
        <v>unclear</v>
      </c>
    </row>
    <row r="34" spans="1:3" ht="15.75" customHeight="1" x14ac:dyDescent="0.15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15">
      <c r="A35"/>
      <c r="B35" s="196" t="s">
        <v>226</v>
      </c>
      <c r="C35" s="224"/>
    </row>
    <row r="36" spans="1:3" ht="15.75" customHeight="1" x14ac:dyDescent="0.15">
      <c r="A36"/>
      <c r="B36" s="20" t="s">
        <v>238</v>
      </c>
      <c r="C36" s="245" t="str">
        <f>Inputs!C18</f>
        <v>unclear</v>
      </c>
    </row>
    <row r="37" spans="1:3" ht="15.75" customHeight="1" x14ac:dyDescent="0.15">
      <c r="A37"/>
      <c r="B37" s="20" t="s">
        <v>239</v>
      </c>
      <c r="C37" s="245" t="str">
        <f>Inputs!C19</f>
        <v>unclear</v>
      </c>
    </row>
    <row r="38" spans="1:3" ht="15.75" customHeight="1" x14ac:dyDescent="0.15">
      <c r="A38"/>
      <c r="B38" s="196" t="s">
        <v>227</v>
      </c>
      <c r="C38" s="224"/>
    </row>
    <row r="39" spans="1:3" ht="15.75" customHeight="1" x14ac:dyDescent="0.15">
      <c r="A39"/>
      <c r="B39" s="19" t="s">
        <v>228</v>
      </c>
      <c r="C39" s="245" t="str">
        <f>Inputs!C20</f>
        <v>unclear</v>
      </c>
    </row>
    <row r="40" spans="1:3" ht="15.75" customHeight="1" x14ac:dyDescent="0.15">
      <c r="A40"/>
      <c r="B40" s="1" t="s">
        <v>231</v>
      </c>
      <c r="C40" s="245" t="str">
        <f>Inputs!C21</f>
        <v>unclear</v>
      </c>
    </row>
    <row r="41" spans="1:3" ht="15.75" customHeight="1" x14ac:dyDescent="0.15">
      <c r="A41"/>
      <c r="B41"/>
      <c r="C41"/>
    </row>
    <row r="42" spans="1:3" ht="15.75" customHeight="1" x14ac:dyDescent="0.2">
      <c r="A42" s="5"/>
      <c r="B42" s="6" t="s">
        <v>229</v>
      </c>
      <c r="C42"/>
    </row>
    <row r="43" spans="1:3" ht="70" x14ac:dyDescent="0.15">
      <c r="A43"/>
      <c r="B43" s="226" t="s">
        <v>230</v>
      </c>
      <c r="C43" s="244" t="str">
        <f>Inputs!C22</f>
        <v>Unclear</v>
      </c>
    </row>
    <row r="44" spans="1:3" ht="15.75" customHeight="1" x14ac:dyDescent="0.15"/>
    <row r="45" spans="1:3" ht="15.75" customHeight="1" x14ac:dyDescent="0.15"/>
    <row r="46" spans="1:3" ht="15.75" customHeight="1" x14ac:dyDescent="0.15"/>
    <row r="47" spans="1:3" ht="15.75" customHeight="1" x14ac:dyDescent="0.15"/>
    <row r="48" spans="1:3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topLeftCell="A10" zoomScaleNormal="100" workbookViewId="0">
      <pane xSplit="2" topLeftCell="C1" activePane="topRight" state="frozen"/>
      <selection activeCell="A4" sqref="A4"/>
      <selection pane="topRight" activeCell="D38" sqref="D38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15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2932639.6666666665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15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11</v>
      </c>
      <c r="C6" s="200">
        <f>IF(Inputs!C25=""," ",Inputs!C25)</f>
        <v>23767936</v>
      </c>
      <c r="D6" s="200">
        <f>IF(Inputs!D25="","",Inputs!D25)</f>
        <v>22615878</v>
      </c>
      <c r="E6" s="200">
        <f>IF(Inputs!E25="","",Inputs!E25)</f>
        <v>20790144</v>
      </c>
      <c r="F6" s="200">
        <f>IF(Inputs!F25="","",Inputs!F25)</f>
        <v>22374001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15">
      <c r="A7" s="4"/>
      <c r="B7" s="96" t="s">
        <v>12</v>
      </c>
      <c r="C7" s="92">
        <f t="shared" ref="C7:M7" si="1">IF(D6="","",C6/D6-1)</f>
        <v>5.0940228807389243E-2</v>
      </c>
      <c r="D7" s="92">
        <f t="shared" si="1"/>
        <v>8.7817284959642361E-2</v>
      </c>
      <c r="E7" s="92">
        <f t="shared" si="1"/>
        <v>-7.0790065665948587E-2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105</v>
      </c>
      <c r="C8" s="199">
        <f>IF(Inputs!C26="","",Inputs!C26)</f>
        <v>15757248</v>
      </c>
      <c r="D8" s="199">
        <f>IF(Inputs!D26="","",Inputs!D26)</f>
        <v>14926379</v>
      </c>
      <c r="E8" s="199">
        <f>IF(Inputs!E26="","",Inputs!E26)</f>
        <v>13017826</v>
      </c>
      <c r="F8" s="199">
        <f>IF(Inputs!F26="","",Inputs!F26)</f>
        <v>12918146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15">
      <c r="A9" s="4"/>
      <c r="B9" s="98" t="s">
        <v>102</v>
      </c>
      <c r="C9" s="151">
        <f t="shared" ref="C9:M9" si="2">IF(C6="","",(C6-C8))</f>
        <v>8010688</v>
      </c>
      <c r="D9" s="151">
        <f t="shared" si="2"/>
        <v>7689499</v>
      </c>
      <c r="E9" s="151">
        <f t="shared" si="2"/>
        <v>7772318</v>
      </c>
      <c r="F9" s="151">
        <f t="shared" si="2"/>
        <v>9455855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15">
      <c r="A10" s="4"/>
      <c r="B10" s="97" t="s">
        <v>103</v>
      </c>
      <c r="C10" s="199">
        <f>IF(Inputs!C27="","",Inputs!C27)</f>
        <v>5068887</v>
      </c>
      <c r="D10" s="199">
        <f>IF(Inputs!D27="","",Inputs!D27)</f>
        <v>4888813</v>
      </c>
      <c r="E10" s="199">
        <f>IF(Inputs!E27="","",Inputs!E27)</f>
        <v>4526293</v>
      </c>
      <c r="F10" s="199">
        <f>IF(Inputs!F27="","",Inputs!F27)</f>
        <v>4832922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15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15">
      <c r="A12" s="4"/>
      <c r="B12" s="99" t="s">
        <v>240</v>
      </c>
      <c r="C12" s="199">
        <f>IF(Inputs!C30="","",MAX(Inputs!C30,0)/(1-Fin_Analysis!$I$84))</f>
        <v>9161.3333333333339</v>
      </c>
      <c r="D12" s="199">
        <f>IF(Inputs!D30="","",MAX(Inputs!D30,0)/(1-Fin_Analysis!$I$84))</f>
        <v>32068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15">
      <c r="A13" s="4"/>
      <c r="B13" s="228" t="s">
        <v>241</v>
      </c>
      <c r="C13" s="229">
        <f t="shared" ref="C13:M13" si="3">IF(C14="","",C14/C6)</f>
        <v>0.12338638351544982</v>
      </c>
      <c r="D13" s="229">
        <f t="shared" si="3"/>
        <v>0.12241921361620363</v>
      </c>
      <c r="E13" s="229">
        <f t="shared" si="3"/>
        <v>0.15613287719411659</v>
      </c>
      <c r="F13" s="229">
        <f t="shared" si="3"/>
        <v>0.20662075593900259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15">
      <c r="A14" s="4"/>
      <c r="B14" s="228" t="s">
        <v>233</v>
      </c>
      <c r="C14" s="230">
        <f>IF(C6="","",C9-C10-MAX(C11,0)-MAX(C12,0))</f>
        <v>2932639.6666666665</v>
      </c>
      <c r="D14" s="230">
        <f t="shared" ref="D14:M14" si="4">IF(D6="","",D9-D10-MAX(D11,0)-MAX(D12,0))</f>
        <v>2768618</v>
      </c>
      <c r="E14" s="230">
        <f t="shared" si="4"/>
        <v>3246025</v>
      </c>
      <c r="F14" s="230">
        <f t="shared" si="4"/>
        <v>4622933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15">
      <c r="A15" s="4"/>
      <c r="B15" s="231" t="s">
        <v>242</v>
      </c>
      <c r="C15" s="232">
        <f>IF(D14="","",IF(ABS(C14+D14)=ABS(C14)+ABS(D14),IF(C14&lt;0,-1,1)*(C14-D14)/D14,"Turn"))</f>
        <v>5.9243155490091633E-2</v>
      </c>
      <c r="D15" s="232">
        <f t="shared" ref="D15:M15" si="5">IF(E14="","",IF(ABS(D14+E14)=ABS(D14)+ABS(E14),IF(D14&lt;0,-1,1)*(D14-E14)/E14,"Turn"))</f>
        <v>-0.14707434477553316</v>
      </c>
      <c r="E15" s="232">
        <f t="shared" si="5"/>
        <v>-0.2978429494868301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15">
      <c r="A16" s="4"/>
      <c r="B16" s="97" t="s">
        <v>109</v>
      </c>
      <c r="C16" s="199">
        <f>IF(Inputs!C31="","",Inputs!C31)</f>
        <v>-518383</v>
      </c>
      <c r="D16" s="199">
        <f>IF(Inputs!D31="","",Inputs!D31)</f>
        <v>-1450811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15">
      <c r="A17" s="4"/>
      <c r="B17" s="97" t="s">
        <v>257</v>
      </c>
      <c r="C17" s="199">
        <f>IF(Inputs!C29="","",Inputs!C29)</f>
        <v>646577</v>
      </c>
      <c r="D17" s="199">
        <f>IF(Inputs!D29="","",Inputs!D29)</f>
        <v>468159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15">
      <c r="A18" s="4"/>
      <c r="B18" s="94" t="s">
        <v>98</v>
      </c>
      <c r="C18" s="152">
        <f t="shared" ref="C18:M18" si="6">IF(OR(C6="",C19=""),"",C19/C6)</f>
        <v>3.7858567104859249E-2</v>
      </c>
      <c r="D18" s="152">
        <f t="shared" si="6"/>
        <v>3.9219923276911914E-2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15">
      <c r="A19" s="4"/>
      <c r="B19" s="97" t="s">
        <v>104</v>
      </c>
      <c r="C19" s="199">
        <f>IF(Inputs!C32="","",Inputs!C32)</f>
        <v>899820</v>
      </c>
      <c r="D19" s="199">
        <f>IF(Inputs!D32="","",Inputs!D32)</f>
        <v>886993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15">
      <c r="A20" s="4"/>
      <c r="B20" s="97" t="s">
        <v>235</v>
      </c>
      <c r="C20" s="152">
        <f t="shared" ref="C20:M20" si="7">IF(C6="","",MAX(C21,0)/C6)</f>
        <v>6.397299285895082E-2</v>
      </c>
      <c r="D20" s="152">
        <f t="shared" si="7"/>
        <v>5.5034653087534344E-2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15">
      <c r="A21" s="4"/>
      <c r="B21" s="97" t="s">
        <v>107</v>
      </c>
      <c r="C21" s="199">
        <f>IF(Inputs!C33="","",Inputs!C33)</f>
        <v>1520506</v>
      </c>
      <c r="D21" s="199">
        <f>IF(Inputs!D33="","",Inputs!D33)</f>
        <v>1244657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15">
      <c r="A22" s="4"/>
      <c r="B22" s="98" t="s">
        <v>111</v>
      </c>
      <c r="C22" s="161">
        <f>IF(C6="","",C14-MAX(C16,0)-MAX(C17,0)-ABS(MAX(C21,0)-MAX(C19,0)))</f>
        <v>1665376.6666666665</v>
      </c>
      <c r="D22" s="161">
        <f t="shared" ref="D22:M22" si="8">IF(D6="","",D14-MAX(D16,0)-MAX(D17,0)-ABS(MAX(D21,0)-MAX(D19,0)))</f>
        <v>1942795</v>
      </c>
      <c r="E22" s="161">
        <f t="shared" si="8"/>
        <v>3246025</v>
      </c>
      <c r="F22" s="161">
        <f t="shared" si="8"/>
        <v>4622933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15">
      <c r="A23" s="4"/>
      <c r="B23" s="100" t="s">
        <v>112</v>
      </c>
      <c r="C23" s="153">
        <f t="shared" ref="C23:M23" si="9">IF(C6="","",C24/C6)</f>
        <v>5.2551155472650213E-2</v>
      </c>
      <c r="D23" s="153">
        <f t="shared" si="9"/>
        <v>6.4428020437676578E-2</v>
      </c>
      <c r="E23" s="153">
        <f t="shared" si="9"/>
        <v>0.11709965789558745</v>
      </c>
      <c r="F23" s="153">
        <f t="shared" si="9"/>
        <v>0.15496556695425195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15">
      <c r="A24" s="4"/>
      <c r="B24" s="101" t="s">
        <v>113</v>
      </c>
      <c r="C24" s="154">
        <f>IF(C6="","",C22*(1-Fin_Analysis!$I$84))</f>
        <v>1249032.5</v>
      </c>
      <c r="D24" s="77">
        <f>IF(D6="","",D22*(1-Fin_Analysis!$I$84))</f>
        <v>1457096.25</v>
      </c>
      <c r="E24" s="77">
        <f>IF(E6="","",E22*(1-Fin_Analysis!$I$84))</f>
        <v>2434518.75</v>
      </c>
      <c r="F24" s="77">
        <f>IF(F6="","",F22*(1-Fin_Analysis!$I$84))</f>
        <v>3467199.75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2">
      <c r="A25" s="4"/>
      <c r="B25" s="234" t="s">
        <v>128</v>
      </c>
      <c r="C25" s="233">
        <f>IF(D24="","",IF(ABS(C24+D24)=ABS(C24)+ABS(D24),IF(C24&lt;0,-1,1)*(C24-D24)/D24,"Turn"))</f>
        <v>-0.14279341532860304</v>
      </c>
      <c r="D25" s="233">
        <f t="shared" ref="D25:M25" si="10">IF(E24="","",IF(ABS(D24+E24)=ABS(D24)+ABS(E24),IF(D24&lt;0,-1,1)*(D24-E24)/E24,"Turn"))</f>
        <v>-0.40148489306151369</v>
      </c>
      <c r="E25" s="233">
        <f t="shared" si="10"/>
        <v>-0.2978429494868301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15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15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15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15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15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15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15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15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15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15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15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15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15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15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15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15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97</v>
      </c>
      <c r="C42" s="156">
        <f t="shared" ref="C42:M42" si="34">IF(C6="","",C8/C6)</f>
        <v>0.66296240447635002</v>
      </c>
      <c r="D42" s="156">
        <f t="shared" si="34"/>
        <v>0.65999555710373037</v>
      </c>
      <c r="E42" s="156">
        <f t="shared" si="34"/>
        <v>0.62615371976259515</v>
      </c>
      <c r="F42" s="156">
        <f t="shared" si="34"/>
        <v>0.57737308584191094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15">
      <c r="A43" s="4"/>
      <c r="B43" s="94" t="s">
        <v>234</v>
      </c>
      <c r="C43" s="153">
        <f t="shared" ref="C43:M43" si="35">IF(C6="","",(C10+MAX(C11,0))/C6)</f>
        <v>0.21326576274860384</v>
      </c>
      <c r="D43" s="153">
        <f t="shared" si="35"/>
        <v>0.21616728742523283</v>
      </c>
      <c r="E43" s="153">
        <f t="shared" si="35"/>
        <v>0.21771340304328821</v>
      </c>
      <c r="F43" s="153">
        <f t="shared" si="35"/>
        <v>0.21600615821908653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15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15">
      <c r="A45" s="4"/>
      <c r="B45" s="94" t="s">
        <v>121</v>
      </c>
      <c r="C45" s="153">
        <f t="shared" ref="C45:M45" si="37">IF(C6="","",MAX(C17,0)/C6)</f>
        <v>2.7203750464491323E-2</v>
      </c>
      <c r="D45" s="153">
        <f t="shared" si="37"/>
        <v>2.0700456555345761E-2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15">
      <c r="A46" s="4"/>
      <c r="B46" s="94" t="s">
        <v>129</v>
      </c>
      <c r="C46" s="153">
        <f>IF(C6="","",MAX(C12,0)/C6)</f>
        <v>3.8544925959634583E-4</v>
      </c>
      <c r="D46" s="153">
        <f t="shared" ref="D46:M46" si="38">IF(D6="","",MAX(D12,0)/D6)</f>
        <v>1.4179418548331399E-3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15">
      <c r="A47" s="4"/>
      <c r="B47" s="94" t="s">
        <v>236</v>
      </c>
      <c r="C47" s="153">
        <f>IF(C6="","",ABS(MAX(C21,0)-MAX(C19,0))/C6)</f>
        <v>2.6114425754091564E-2</v>
      </c>
      <c r="D47" s="153">
        <f t="shared" ref="D47:M47" si="39">IF(D6="","",ABS(MAX(D21,0)-MAX(D19,0))/D6)</f>
        <v>1.581472981062243E-2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15">
      <c r="A48" s="4"/>
      <c r="B48" s="94" t="s">
        <v>123</v>
      </c>
      <c r="C48" s="153">
        <f t="shared" ref="C48:M48" si="40">IF(C6="","",C22/C6)</f>
        <v>7.0068207296866941E-2</v>
      </c>
      <c r="D48" s="153">
        <f t="shared" si="40"/>
        <v>8.5904027250235437E-2</v>
      </c>
      <c r="E48" s="153">
        <f t="shared" si="40"/>
        <v>0.15613287719411659</v>
      </c>
      <c r="F48" s="153">
        <f t="shared" si="40"/>
        <v>0.20662075593900259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15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15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15">
      <c r="A52" s="4"/>
      <c r="B52" s="94" t="s">
        <v>264</v>
      </c>
      <c r="C52" s="153">
        <f>IF(D6="","",C16/(C6-D6))</f>
        <v>-0.44996258868911115</v>
      </c>
      <c r="D52" s="153">
        <f t="shared" ref="D52:M52" si="43">IF(E6="","",D16/(D6-E6))</f>
        <v>-0.79464533168577678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15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15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15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15">
      <c r="A56" s="4"/>
      <c r="B56" s="94" t="s">
        <v>122</v>
      </c>
      <c r="C56" s="153">
        <f t="shared" ref="C56:M56" si="46">IF(C22="","",IF(MAX(C17,0)&lt;=0,"-",C17/C22))</f>
        <v>0.38824670294808183</v>
      </c>
      <c r="D56" s="153">
        <f t="shared" si="46"/>
        <v>0.24097189873352567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15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15"/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>
      <c r="A248" s="4"/>
    </row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F95" sqref="F95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15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15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2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15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4" x14ac:dyDescent="0.15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4" x14ac:dyDescent="0.15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4" x14ac:dyDescent="0.15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4" x14ac:dyDescent="0.15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4" x14ac:dyDescent="0.15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4" x14ac:dyDescent="0.15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4" x14ac:dyDescent="0.15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4" x14ac:dyDescent="0.15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4" x14ac:dyDescent="0.15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15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1" t="s">
        <v>51</v>
      </c>
      <c r="G23" s="87"/>
    </row>
    <row r="24" spans="2:10" ht="15" customHeight="1" x14ac:dyDescent="0.15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15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15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15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15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15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4" x14ac:dyDescent="0.15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4" x14ac:dyDescent="0.15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4" x14ac:dyDescent="0.15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4" x14ac:dyDescent="0.15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4" x14ac:dyDescent="0.15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15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15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15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15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86</v>
      </c>
      <c r="C51" s="31"/>
      <c r="D51" s="18"/>
    </row>
    <row r="52" spans="2:11" ht="14" x14ac:dyDescent="0.15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4" x14ac:dyDescent="0.15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150</v>
      </c>
      <c r="C55" s="3"/>
      <c r="E55" s="125"/>
      <c r="F55" s="3"/>
      <c r="G55" s="3"/>
      <c r="I55" s="87"/>
      <c r="K55" s="33"/>
    </row>
    <row r="56" spans="2:11" ht="14" x14ac:dyDescent="0.15">
      <c r="B56" s="20" t="s">
        <v>89</v>
      </c>
      <c r="C56" s="87"/>
      <c r="D56" s="285">
        <f>I15+I34</f>
        <v>0</v>
      </c>
      <c r="E56" s="283"/>
      <c r="F56" s="3"/>
      <c r="G56" s="3"/>
      <c r="I56" s="56"/>
      <c r="K56" s="33"/>
    </row>
    <row r="57" spans="2:11" ht="14" x14ac:dyDescent="0.15">
      <c r="B57" s="20" t="s">
        <v>90</v>
      </c>
      <c r="C57" s="87"/>
      <c r="D57" s="284">
        <f>Inputs!C84</f>
        <v>0</v>
      </c>
      <c r="E57" s="283"/>
      <c r="G57" s="87"/>
      <c r="I57" s="87"/>
      <c r="K57" s="33" t="s">
        <v>91</v>
      </c>
    </row>
    <row r="58" spans="2:11" ht="12.75" customHeight="1" x14ac:dyDescent="0.15">
      <c r="B58" s="20" t="s">
        <v>92</v>
      </c>
      <c r="C58" s="87"/>
      <c r="D58" s="284">
        <f>Inputs!C85</f>
        <v>0</v>
      </c>
      <c r="E58" s="283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15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4" x14ac:dyDescent="0.15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4" x14ac:dyDescent="0.15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thickTop="1" x14ac:dyDescent="0.15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6" t="s">
        <v>127</v>
      </c>
      <c r="C72" s="272">
        <f>Data!C5</f>
        <v>45291</v>
      </c>
      <c r="D72" s="272"/>
      <c r="E72" s="286" t="s">
        <v>206</v>
      </c>
      <c r="F72" s="286"/>
      <c r="H72" s="286" t="s">
        <v>205</v>
      </c>
      <c r="I72" s="286"/>
      <c r="K72" s="50" t="s">
        <v>7</v>
      </c>
    </row>
    <row r="73" spans="1:11" ht="15" customHeight="1" x14ac:dyDescent="0.15">
      <c r="B73" s="12" t="str">
        <f>"(Numbers in "&amp;Data!C4&amp;Dashboard!G6&amp;")"</f>
        <v>(Numbers in 1000CNY)</v>
      </c>
      <c r="C73" s="273" t="s">
        <v>100</v>
      </c>
      <c r="D73" s="273"/>
      <c r="E73" s="287" t="s">
        <v>101</v>
      </c>
      <c r="F73" s="273"/>
      <c r="H73" s="287" t="s">
        <v>101</v>
      </c>
      <c r="I73" s="273"/>
      <c r="K73" s="24"/>
    </row>
    <row r="74" spans="1:11" ht="15" customHeight="1" x14ac:dyDescent="0.15">
      <c r="B74" s="3" t="s">
        <v>126</v>
      </c>
      <c r="C74" s="77">
        <f>Data!C6</f>
        <v>23767936</v>
      </c>
      <c r="D74" s="209"/>
      <c r="E74" s="238">
        <f>Inputs!E91</f>
        <v>23767936</v>
      </c>
      <c r="F74" s="209"/>
      <c r="H74" s="238">
        <f>Inputs!F91</f>
        <v>23767936</v>
      </c>
      <c r="I74" s="209"/>
      <c r="K74" s="24"/>
    </row>
    <row r="75" spans="1:11" ht="15" customHeight="1" x14ac:dyDescent="0.15">
      <c r="B75" s="104" t="s">
        <v>105</v>
      </c>
      <c r="C75" s="77">
        <f>Data!C8</f>
        <v>15757248</v>
      </c>
      <c r="D75" s="159">
        <f>C75/$C$74</f>
        <v>0.66296240447635002</v>
      </c>
      <c r="E75" s="238">
        <f>Inputs!E92</f>
        <v>15757248</v>
      </c>
      <c r="F75" s="160">
        <f>E75/E74</f>
        <v>0.66296240447635002</v>
      </c>
      <c r="H75" s="238">
        <f>Inputs!F92</f>
        <v>15757248</v>
      </c>
      <c r="I75" s="160">
        <f>H75/$H$74</f>
        <v>0.66296240447635002</v>
      </c>
      <c r="K75" s="24"/>
    </row>
    <row r="76" spans="1:11" ht="15" customHeight="1" x14ac:dyDescent="0.15">
      <c r="B76" s="35" t="s">
        <v>95</v>
      </c>
      <c r="C76" s="161">
        <f>C74-C75</f>
        <v>8010688</v>
      </c>
      <c r="D76" s="210"/>
      <c r="E76" s="162">
        <f>E74-E75</f>
        <v>8010688</v>
      </c>
      <c r="F76" s="210"/>
      <c r="H76" s="162">
        <f>H74-H75</f>
        <v>8010688</v>
      </c>
      <c r="I76" s="210"/>
      <c r="K76" s="24"/>
    </row>
    <row r="77" spans="1:11" ht="15" customHeight="1" x14ac:dyDescent="0.15">
      <c r="B77" s="104" t="s">
        <v>247</v>
      </c>
      <c r="C77" s="77">
        <f>Data!C10+MAX(Data!C11,0)</f>
        <v>5068887</v>
      </c>
      <c r="D77" s="159">
        <f>C77/$C$74</f>
        <v>0.21326576274860384</v>
      </c>
      <c r="E77" s="238">
        <f>Inputs!E93</f>
        <v>5068887</v>
      </c>
      <c r="F77" s="160">
        <f>E77/E74</f>
        <v>0.21326576274860384</v>
      </c>
      <c r="H77" s="238">
        <f>Inputs!F93</f>
        <v>5068887</v>
      </c>
      <c r="I77" s="160">
        <f>H77/$H$74</f>
        <v>0.21326576274860384</v>
      </c>
      <c r="K77" s="24"/>
    </row>
    <row r="78" spans="1:11" ht="15" customHeight="1" x14ac:dyDescent="0.15">
      <c r="B78" s="73" t="s">
        <v>172</v>
      </c>
      <c r="C78" s="77">
        <f>MAX(Data!C12,0)</f>
        <v>9161.3333333333339</v>
      </c>
      <c r="D78" s="159">
        <f>C78/$C$74</f>
        <v>3.8544925959634583E-4</v>
      </c>
      <c r="E78" s="180">
        <f>E74*F78</f>
        <v>9161.3333333333339</v>
      </c>
      <c r="F78" s="160">
        <f>I78</f>
        <v>3.8544925959634583E-4</v>
      </c>
      <c r="H78" s="238">
        <f>Inputs!F97</f>
        <v>9161.3333333333339</v>
      </c>
      <c r="I78" s="160">
        <f>H78/$H$74</f>
        <v>3.8544925959634583E-4</v>
      </c>
      <c r="K78" s="24"/>
    </row>
    <row r="79" spans="1:11" ht="15" customHeight="1" x14ac:dyDescent="0.15">
      <c r="B79" s="256" t="s">
        <v>232</v>
      </c>
      <c r="C79" s="257">
        <f>C76-C77-C78</f>
        <v>2932639.6666666665</v>
      </c>
      <c r="D79" s="258">
        <f>C79/C74</f>
        <v>0.12338638351544982</v>
      </c>
      <c r="E79" s="259">
        <f>E76-E77-E78</f>
        <v>2932639.6666666665</v>
      </c>
      <c r="F79" s="258">
        <f>E79/E74</f>
        <v>0.12338638351544982</v>
      </c>
      <c r="G79" s="260"/>
      <c r="H79" s="259">
        <f>H76-H77-H78</f>
        <v>2932639.6666666665</v>
      </c>
      <c r="I79" s="258">
        <f>H79/H74</f>
        <v>0.12338638351544982</v>
      </c>
      <c r="K79" s="24"/>
    </row>
    <row r="80" spans="1:11" ht="15" customHeight="1" x14ac:dyDescent="0.15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15">
      <c r="B81" s="104" t="s">
        <v>257</v>
      </c>
      <c r="C81" s="77">
        <f>MAX(Data!C17,0)</f>
        <v>646577</v>
      </c>
      <c r="D81" s="159">
        <f>C81/$C$74</f>
        <v>2.7203750464491323E-2</v>
      </c>
      <c r="E81" s="180">
        <f>E74*F81</f>
        <v>646577</v>
      </c>
      <c r="F81" s="160">
        <f>I81</f>
        <v>2.7203750464491323E-2</v>
      </c>
      <c r="H81" s="238">
        <f>Inputs!F94</f>
        <v>646577</v>
      </c>
      <c r="I81" s="160">
        <f>H81/$H$74</f>
        <v>2.7203750464491323E-2</v>
      </c>
      <c r="K81" s="24"/>
    </row>
    <row r="82" spans="1:11" ht="15" customHeight="1" x14ac:dyDescent="0.15">
      <c r="B82" s="28" t="s">
        <v>246</v>
      </c>
      <c r="C82" s="77">
        <f>ABS(MAX(Data!C21,0)-MAX(Data!C19,0))</f>
        <v>620686</v>
      </c>
      <c r="D82" s="159">
        <f>C82/$C$74</f>
        <v>2.6114425754091564E-2</v>
      </c>
      <c r="E82" s="238">
        <f>Inputs!E95</f>
        <v>475358.72000000003</v>
      </c>
      <c r="F82" s="160">
        <f>E82/E74</f>
        <v>0.02</v>
      </c>
      <c r="H82" s="238">
        <f>Inputs!F95</f>
        <v>237679.36000000002</v>
      </c>
      <c r="I82" s="160">
        <f>H82/$H$74</f>
        <v>0.01</v>
      </c>
      <c r="K82" s="24"/>
    </row>
    <row r="83" spans="1:11" ht="15" customHeight="1" thickBot="1" x14ac:dyDescent="0.2">
      <c r="B83" s="105" t="s">
        <v>125</v>
      </c>
      <c r="C83" s="163">
        <f>C79-C81-C82-C80</f>
        <v>1665376.6666666665</v>
      </c>
      <c r="D83" s="164">
        <f>C83/$C$74</f>
        <v>7.0068207296866941E-2</v>
      </c>
      <c r="E83" s="165">
        <f>E79-E81-E82-E80</f>
        <v>1810703.9466666665</v>
      </c>
      <c r="F83" s="164">
        <f>E83/E74</f>
        <v>7.6182633050958501E-2</v>
      </c>
      <c r="H83" s="165">
        <f>H79-H81-H82-H80</f>
        <v>2048383.3066666664</v>
      </c>
      <c r="I83" s="164">
        <f>H83/$H$74</f>
        <v>8.6182633050958496E-2</v>
      </c>
      <c r="K83" s="24"/>
    </row>
    <row r="84" spans="1:11" ht="15" customHeight="1" thickTop="1" x14ac:dyDescent="0.15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15">
      <c r="B85" s="263" t="s">
        <v>164</v>
      </c>
      <c r="C85" s="257">
        <f>C83*(1-I84)</f>
        <v>1249032.5</v>
      </c>
      <c r="D85" s="258">
        <f>C85/$C$74</f>
        <v>5.2551155472650213E-2</v>
      </c>
      <c r="E85" s="264">
        <f>E83*(1-F84)</f>
        <v>1358027.96</v>
      </c>
      <c r="F85" s="258">
        <f>E85/E74</f>
        <v>5.7136974788218886E-2</v>
      </c>
      <c r="G85" s="260"/>
      <c r="H85" s="264">
        <f>H83*(1-I84)</f>
        <v>1536287.4799999997</v>
      </c>
      <c r="I85" s="258">
        <f>H85/$H$74</f>
        <v>6.4636974788218879E-2</v>
      </c>
      <c r="K85" s="24"/>
    </row>
    <row r="86" spans="1:11" ht="15" customHeight="1" x14ac:dyDescent="0.15">
      <c r="B86" s="87" t="s">
        <v>160</v>
      </c>
      <c r="C86" s="167">
        <f>C85*Data!C4/Common_Shares</f>
        <v>1.0747870395658665</v>
      </c>
      <c r="D86" s="209"/>
      <c r="E86" s="168">
        <f>E85*Data!C4/Common_Shares</f>
        <v>1.1685771593421892</v>
      </c>
      <c r="F86" s="209"/>
      <c r="H86" s="168">
        <f>H85*Data!C4/Common_Shares</f>
        <v>1.3219687018162498</v>
      </c>
      <c r="I86" s="209"/>
      <c r="K86" s="24"/>
    </row>
    <row r="87" spans="1:11" ht="15" customHeight="1" x14ac:dyDescent="0.15">
      <c r="B87" s="87" t="s">
        <v>208</v>
      </c>
      <c r="C87" s="261">
        <f>C86*Exchange_Rate/Dashboard!G3</f>
        <v>5.0435291367629552E-2</v>
      </c>
      <c r="D87" s="209"/>
      <c r="E87" s="262">
        <f>E86*Exchange_Rate/Dashboard!G3</f>
        <v>5.4836472107801494E-2</v>
      </c>
      <c r="F87" s="209"/>
      <c r="H87" s="262">
        <f>H86*Exchange_Rate/Dashboard!G3</f>
        <v>6.2034500045628396E-2</v>
      </c>
      <c r="I87" s="209"/>
      <c r="K87" s="24"/>
    </row>
    <row r="88" spans="1:11" ht="15" customHeight="1" x14ac:dyDescent="0.15">
      <c r="B88" s="86" t="s">
        <v>207</v>
      </c>
      <c r="C88" s="169">
        <f>Inputs!C44</f>
        <v>1.4</v>
      </c>
      <c r="D88" s="166">
        <f>C88/C86</f>
        <v>1.3025836267671176</v>
      </c>
      <c r="E88" s="170">
        <f>Inputs!E98</f>
        <v>1.4</v>
      </c>
      <c r="F88" s="166">
        <f>E88/E86</f>
        <v>1.1980381345020319</v>
      </c>
      <c r="H88" s="170">
        <f>Inputs!F98</f>
        <v>1.4</v>
      </c>
      <c r="I88" s="166">
        <f>H88/H86</f>
        <v>1.0590265851805289</v>
      </c>
      <c r="K88" s="24"/>
    </row>
    <row r="89" spans="1:11" ht="15" customHeight="1" x14ac:dyDescent="0.15">
      <c r="B89" s="87" t="s">
        <v>221</v>
      </c>
      <c r="C89" s="261">
        <f>C88*Exchange_Rate/Dashboard!G3</f>
        <v>6.569618474670319E-2</v>
      </c>
      <c r="D89" s="209"/>
      <c r="E89" s="261">
        <f>E88*Exchange_Rate/Dashboard!G3</f>
        <v>6.569618474670319E-2</v>
      </c>
      <c r="F89" s="209"/>
      <c r="H89" s="261">
        <f>H88*Exchange_Rate/Dashboard!G3</f>
        <v>6.569618474670319E-2</v>
      </c>
      <c r="I89" s="209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15">
      <c r="B92" s="10" t="s">
        <v>155</v>
      </c>
      <c r="C92" s="198" t="str">
        <f>Inputs!C15</f>
        <v>CN</v>
      </c>
      <c r="D92" s="10" t="s">
        <v>156</v>
      </c>
      <c r="E92" s="286" t="s">
        <v>206</v>
      </c>
      <c r="F92" s="286"/>
      <c r="G92" s="87"/>
      <c r="H92" s="286" t="s">
        <v>205</v>
      </c>
      <c r="I92" s="286"/>
      <c r="K92" s="24"/>
    </row>
    <row r="93" spans="1:11" ht="15" customHeight="1" x14ac:dyDescent="0.15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26.98824642874877</v>
      </c>
      <c r="H93" s="87" t="s">
        <v>209</v>
      </c>
      <c r="I93" s="144">
        <f>FV(H87,D93,0,-(H86/(C93-D94)))*Exchange_Rate</f>
        <v>31.586818408956802</v>
      </c>
      <c r="K93" s="24"/>
    </row>
    <row r="94" spans="1:11" ht="15" customHeight="1" x14ac:dyDescent="0.15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34.031937599444589</v>
      </c>
      <c r="H94" s="87" t="s">
        <v>210</v>
      </c>
      <c r="I94" s="144">
        <f>FV(H89,D93,0,-(H88/(C93-D94)))*Exchange_Rate</f>
        <v>34.031937599444589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15">
      <c r="B97" s="1" t="s">
        <v>130</v>
      </c>
      <c r="C97" s="91">
        <f>H97*Common_Shares/Data!C4</f>
        <v>18250215.62686979</v>
      </c>
      <c r="D97" s="213"/>
      <c r="E97" s="123">
        <f>PV(C94,D93,0,-F93)</f>
        <v>13.417928250871045</v>
      </c>
      <c r="F97" s="213"/>
      <c r="H97" s="123">
        <f>PV(C94,D93,0,-I93)</f>
        <v>15.704231255025066</v>
      </c>
      <c r="I97" s="123">
        <f>PV(C93,D93,0,-I93)</f>
        <v>21.447764263141838</v>
      </c>
      <c r="K97" s="24"/>
    </row>
    <row r="98" spans="2:11" ht="15" customHeight="1" x14ac:dyDescent="0.15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2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15">
      <c r="B100" s="1" t="s">
        <v>114</v>
      </c>
      <c r="C100" s="91">
        <f>C97+C98+$C$99</f>
        <v>18250215.62686979</v>
      </c>
      <c r="D100" s="109">
        <f>MIN(F100*(1-C94),E100)</f>
        <v>12.376917790005844</v>
      </c>
      <c r="E100" s="109">
        <f>MAX(E97+H98+E99,0)</f>
        <v>13.417928250871045</v>
      </c>
      <c r="F100" s="109">
        <f>(E100+H100)/2</f>
        <v>14.561079752948054</v>
      </c>
      <c r="H100" s="109">
        <f>MAX(C100*Data!$C$4/Common_Shares,0)</f>
        <v>15.704231255025064</v>
      </c>
      <c r="I100" s="109">
        <f>MAX(I97+H98+H99,0)</f>
        <v>21.447764263141838</v>
      </c>
      <c r="K100" s="24"/>
    </row>
    <row r="101" spans="2:11" ht="15" customHeight="1" x14ac:dyDescent="0.15">
      <c r="E101" s="24"/>
      <c r="K101" s="24"/>
    </row>
    <row r="102" spans="2:11" ht="15" customHeight="1" x14ac:dyDescent="0.15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15">
      <c r="B103" s="1" t="s">
        <v>161</v>
      </c>
      <c r="C103" s="91">
        <f>H103*Common_Shares/Data!C4</f>
        <v>19662955.32993358</v>
      </c>
      <c r="D103" s="109">
        <f>MIN(F103*(1-C94),E103)</f>
        <v>14.381904486831935</v>
      </c>
      <c r="E103" s="123">
        <f>PV(C94,D93,0,-F94)</f>
        <v>16.919887631566983</v>
      </c>
      <c r="F103" s="109">
        <f>(E103+H103)/2</f>
        <v>16.919887631566983</v>
      </c>
      <c r="H103" s="123">
        <f>PV(C94,D93,0,-I94)</f>
        <v>16.919887631566983</v>
      </c>
      <c r="I103" s="109">
        <f>PV(C93,D93,0,-I94)</f>
        <v>23.108024543676947</v>
      </c>
      <c r="K103" s="24"/>
    </row>
    <row r="104" spans="2:11" ht="15" customHeight="1" x14ac:dyDescent="0.15">
      <c r="E104" s="24"/>
      <c r="K104" s="24"/>
    </row>
    <row r="105" spans="2:11" ht="15" customHeight="1" x14ac:dyDescent="0.15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15">
      <c r="B106" s="1" t="s">
        <v>198</v>
      </c>
      <c r="C106" s="91">
        <f>E106*Common_Shares/Data!C4</f>
        <v>17628105.206538025</v>
      </c>
      <c r="D106" s="109">
        <f>(D100+D103)/2</f>
        <v>13.37941113841889</v>
      </c>
      <c r="E106" s="123">
        <f>(E100+E103)/2</f>
        <v>15.168907941219015</v>
      </c>
      <c r="F106" s="109">
        <f>(F100+F103)/2</f>
        <v>15.740483692257518</v>
      </c>
      <c r="H106" s="123">
        <f>(H100+H103)/2</f>
        <v>16.312059443296022</v>
      </c>
      <c r="I106" s="123">
        <f>(I100+I103)/2</f>
        <v>22.277894403409391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2024-12-11T15:08:13Z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