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3A9587-EBF1-48CC-9E36-14499D0FBA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<sst xmlns="http://schemas.openxmlformats.org/spreadsheetml/2006/main" count="390" uniqueCount="266">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</sst>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2897780274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0.25372124950953201</v>
      </c>
      <c r="D45" s="153">
        <f>IF(D44="","",D44*Exchange_Rate/Dashboard!$G$3)</f>
        <v>0.33491204935258223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222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45473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249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259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248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209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00016.HK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新鴻基地產</v>
      </c>
      <c r="D4" s="278"/>
      <c r="E4" s="87"/>
      <c r="F4" s="3" t="s">
        <v>3</v>
      </c>
      <c r="G4" s="281">
        <f>Inputs!C10</f>
        <v>2897780274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42829.191675929185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1.0218987976510586E-2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7.0088732202852347E-2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176</v>
      </c>
      <c r="G24" s="179">
        <f>(Fin_Analysis!H86*G7)/G3</f>
        <v>0.35366567537890337</v>
      </c>
    </row>
    <row r="25" spans="1:8" ht="15.75" customHeight="1" x14ac:dyDescent="0.4">
      <c r="B25" s="137" t="s">
        <v>245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195</v>
      </c>
      <c r="G26" s="179">
        <f>Fin_Analysis!H88*Exchange_Rate/G3</f>
        <v>0.25372124950953201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118.95012869378448</v>
      </c>
      <c r="D29" s="129">
        <f>G29*(1+G20)</f>
        <v>258.86374279091905</v>
      </c>
      <c r="E29" s="87"/>
      <c r="F29" s="131">
        <f>IF(Fin_Analysis!C108="Profit",Fin_Analysis!F100,IF(Fin_Analysis!C108="Dividend",Fin_Analysis!F103,Fin_Analysis!F106))</f>
        <v>139.94132787504057</v>
      </c>
      <c r="G29" s="272">
        <f>IF(Fin_Analysis!C108="Profit",Fin_Analysis!I100,IF(Fin_Analysis!C108="Dividend",Fin_Analysis!I103,Fin_Analysis!I106))</f>
        <v>225.09890677471225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disagree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202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127087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45473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234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0.35366567537890337</v>
      </c>
      <c r="D87" s="210"/>
      <c r="E87" s="263">
        <f>E86*Exchange_Rate/Dashboard!G3</f>
        <v>0.35366567537890337</v>
      </c>
      <c r="F87" s="210"/>
      <c r="H87" s="263">
        <f>H86*Exchange_Rate/Dashboard!G3</f>
        <v>0.35366567537890337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223</v>
      </c>
      <c r="C89" s="262">
        <f>C88*Exchange_Rate/Dashboard!G3</f>
        <v>0.25372124950953201</v>
      </c>
      <c r="D89" s="210"/>
      <c r="E89" s="262">
        <f>E88*Exchange_Rate/Dashboard!G3</f>
        <v>0.25372124950953201</v>
      </c>
      <c r="F89" s="210"/>
      <c r="H89" s="262">
        <f>H88*Exchange_Rate/Dashboard!G3</f>
        <v>0.25372124950953201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359.98175196130376</v>
      </c>
      <c r="H93" s="87" t="s">
        <v>211</v>
      </c>
      <c r="I93" s="144">
        <f>FV(H87,D93,0,-(H86/C93))*Exchange_Rate</f>
        <v>359.98175196130376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175.9917324300429</v>
      </c>
      <c r="H94" s="87" t="s">
        <v>212</v>
      </c>
      <c r="I94" s="144">
        <f>FV(H89,D93,0,-(H88/C93))*Exchange_Rate</f>
        <v>175.9917324300429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518628.92693365895</v>
      </c>
      <c r="D97" s="214"/>
      <c r="E97" s="123">
        <f>PV(C94,D93,0,-F93)</f>
        <v>178.97455220707977</v>
      </c>
      <c r="F97" s="214"/>
      <c r="H97" s="123">
        <f>PV(C94,D93,0,-I93)</f>
        <v>178.97455220707977</v>
      </c>
      <c r="I97" s="123">
        <f>PV(C93,D93,0,-I93)</f>
        <v>261.51371052873907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413106.82693365891</v>
      </c>
      <c r="D100" s="109">
        <f>MIN(F100*(1-C94),E100)</f>
        <v>118.95012869378448</v>
      </c>
      <c r="E100" s="109">
        <f>MAX(E97-H98+E99,0)</f>
        <v>137.32290729702817</v>
      </c>
      <c r="F100" s="109">
        <f>(E100+H100)/2</f>
        <v>139.94132787504057</v>
      </c>
      <c r="H100" s="109">
        <f>MAX(C100*Data!$C$4/Common_Shares,0)</f>
        <v>142.55974845305298</v>
      </c>
      <c r="I100" s="109">
        <f>MAX(I97-H98+H99,0)</f>
        <v>225.09890677471225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253552.86161616413</v>
      </c>
      <c r="D103" s="109">
        <f>MIN(F103*(1-C94),E103)</f>
        <v>74.374145723700067</v>
      </c>
      <c r="E103" s="123">
        <f>PV(C94,D93,0,-F94)</f>
        <v>87.498994969058899</v>
      </c>
      <c r="F103" s="109">
        <f>(E103+H103)/2</f>
        <v>87.498994969058899</v>
      </c>
      <c r="H103" s="123">
        <f>PV(C94,D93,0,-I94)</f>
        <v>87.498994969058899</v>
      </c>
      <c r="I103" s="109">
        <f>PV(C93,D93,0,-I94)</f>
        <v>127.85162225419947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325742.23677491152</v>
      </c>
      <c r="D106" s="109">
        <f>(D100+D103)/2</f>
        <v>96.66213720874228</v>
      </c>
      <c r="E106" s="123">
        <f>(E100+E103)/2</f>
        <v>112.41095113304354</v>
      </c>
      <c r="F106" s="109">
        <f>(F100+F103)/2</f>
        <v>113.72016142204973</v>
      </c>
      <c r="H106" s="123">
        <f>(H100+H103)/2</f>
        <v>115.02937171105594</v>
      </c>
      <c r="I106" s="123">
        <f>(I100+I103)/2</f>
        <v>176.47526451445586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