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1D1D890-3A47-4187-8838-C06586786FB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3" i="4"/>
  <c r="F91" i="4"/>
  <c r="F94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6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E95" i="4"/>
  <c r="E92" i="4"/>
  <c r="F97" i="4"/>
  <c r="F92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I97" i="3"/>
  <c r="I100" i="3" s="1"/>
  <c r="C97" i="3"/>
  <c r="C100" i="3" s="1"/>
  <c r="H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<sst xmlns="http://schemas.openxmlformats.org/spreadsheetml/2006/main" count="390" uniqueCount="268">
  <si>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</si>
  <si>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</si>
  <si>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</si>
  <si>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</si>
  <si>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</si>
  <si>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</si>
  <si>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</si>
  <si>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</si>
  <si>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</si>
  <si>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</si>
  <si>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</si>
  <si>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</si>
  <si>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</si>
  <si>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</si>
  <si>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</si>
  <si>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</si>
  <si>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</si>
  <si>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</si>
  <si>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</si>
  <si>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</si>
  <si>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</si>
  <si>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</si>
  <si>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</si>
  <si>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</si>
  <si>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</si>
  <si>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</si>
  <si>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</si>
  <si>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</si>
  <si>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</si>
  <si>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</si>
  <si>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</si>
  <si>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</si>
  <si>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</si>
  <si>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</si>
  <si>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</si>
  <si>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</si>
  <si>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</si>
  <si>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</si>
  <si>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</si>
  <si>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</si>
  <si>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</si>
  <si>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</si>
  <si>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</si>
  <si>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</si>
  <si>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</si>
  <si>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</si>
  <si>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</si>
  <si>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</si>
  <si>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</si>
  <si>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</si>
  <si>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</si>
  <si>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</si>
  <si>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</si>
  <si>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</si>
  <si>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</si>
  <si>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</si>
  <si>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</si>
  <si>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</si>
  <si>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</si>
  <si>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</si>
  <si>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</si>
  <si>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</si>
  <si>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</si>
  <si>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</si>
  <si>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</si>
  <si>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</si>
  <si>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</si>
  <si>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</si>
  <si>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</si>
  <si>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</si>
  <si>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</si>
  <si>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</si>
  <si>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</si>
  <si>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</si>
  <si>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</si>
  <si>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</si>
  <si>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</si>
  <si>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</si>
  <si>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</si>
  <si>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</si>
  <si>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</si>
  <si>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</si>
  <si>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</si>
  <si>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</si>
  <si>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</si>
  <si>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</si>
  <si>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</si>
  <si>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</si>
  <si>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</si>
  <si>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</si>
  <si>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</si>
  <si>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</si>
  <si>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</si>
  <si>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</si>
  <si>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</si>
  <si>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</si>
  <si>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</si>
  <si>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</si>
  <si>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</si>
  <si>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</si>
  <si>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</si>
  <si>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</si>
  <si>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</si>
  <si>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</si>
  <si>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</si>
  <si>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</si>
  <si>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</si>
  <si>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</si>
  <si>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</si>
  <si>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</si>
  <si>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</si>
  <si>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</si>
  <si>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</si>
  <si>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</si>
  <si>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</si>
  <si>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</si>
  <si>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</si>
  <si>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</si>
  <si>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</si>
  <si>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</si>
  <si>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</si>
  <si>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</si>
  <si>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</si>
  <si>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</si>
  <si>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</si>
  <si>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</si>
  <si>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</si>
  <si>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</si>
  <si>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</si>
  <si>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</si>
  <si>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</si>
  <si>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</si>
  <si>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</si>
  <si>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</si>
  <si>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</si>
  <si>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</si>
  <si>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</si>
  <si>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</si>
  <si>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</si>
  <si>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</si>
  <si>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</si>
  <si>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</si>
  <si>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</si>
  <si>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</si>
  <si>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</si>
  <si>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</si>
  <si>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</si>
  <si>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</si>
  <si>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</si>
  <si>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</si>
  <si>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</si>
  <si>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</si>
  <si>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</si>
  <si>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</si>
  <si>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</si>
  <si>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</si>
  <si>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</si>
  <si>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</si>
  <si>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</si>
  <si>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</si>
  <si>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</si>
  <si>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</si>
  <si>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</si>
  <si>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</si>
  <si>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</si>
  <si>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</si>
  <si>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</si>
  <si>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</si>
  <si>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</si>
  <si>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</si>
  <si>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</si>
  <si>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</si>
  <si>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</si>
  <si>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</si>
  <si>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</si>
  <si>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</si>
  <si>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</si>
  <si>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</si>
  <si>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</si>
  <si>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</si>
  <si>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</si>
  <si>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</si>
  <si>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</si>
  <si>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</si>
  <si>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</si>
  <si>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</si>
  <si>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</si>
  <si>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</si>
  <si>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</si>
  <si>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</si>
  <si>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</si>
  <si>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</si>
  <si>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</si>
  <si>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</si>
  <si>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</si>
  <si>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</si>
  <si>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</si>
  <si>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</si>
  <si>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</si>
  <si>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</si>
  <si>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</si>
  <si>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</si>
  <si>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</si>
  <si>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</si>
  <si>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</si>
  <si>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</si>
  <si>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</si>
  <si>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</si>
  <si>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</si>
  <si>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</si>
  <si>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</si>
  <si>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</si>
  <si>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</si>
  <si>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</si>
  <si>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</si>
  <si>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</si>
  <si>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</si>
  <si>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</si>
  <si>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</si>
  <si>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</si>
  <si>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</si>
  <si>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</si>
  <si>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</si>
  <si>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</si>
  <si>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</si>
  <si>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</si>
  <si>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</si>
  <si>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</si>
  <si>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</si>
  <si>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</si>
  <si>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</si>
  <si>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</si>
  <si>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</si>
  <si>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</si>
  <si>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</si>
  <si>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</si>
  <si>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</si>
  <si>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</si>
  <si>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</si>
  <si>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</si>
  <si>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</si>
  <si>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</si>
  <si>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</si>
  <si>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</si>
  <si>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</si>
  <si>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</si>
  <si>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</si>
  <si>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</si>
  <si>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</si>
  <si>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</si>
  <si>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</si>
  <si>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</si>
  <si>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</si>
  <si>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</si>
  <si>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</si>
  <si>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</si>
  <si>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</si>
  <si>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</si>
  <si>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</si>
  <si>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</si>
  <si>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0069.HK</t>
  </si>
  <si>
    <t>SHANGRI-LA ASIA</t>
  </si>
  <si>
    <t>C0011</t>
  </si>
  <si>
    <t>USD</t>
  </si>
  <si>
    <t>Strongly agree</t>
  </si>
  <si>
    <t>disagree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</si>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</sst>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0.45524911405880131</c:v>
                </c:pt>
                <c:pt idx="1">
                  <c:v>0.44873026767330132</c:v>
                </c:pt>
                <c:pt idx="2">
                  <c:v>1.0703282304304319E-2</c:v>
                </c:pt>
                <c:pt idx="3">
                  <c:v>0</c:v>
                </c:pt>
                <c:pt idx="4">
                  <c:v>0.12063647696552883</c:v>
                </c:pt>
                <c:pt idx="5">
                  <c:v>0</c:v>
                </c:pt>
                <c:pt idx="6">
                  <c:v>-3.5319141001935742E-2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216</v>
      </c>
    </row>
    <row r="4" spans="1:5" ht="13.9" x14ac:dyDescent="0.4">
      <c r="B4" s="141" t="s">
        <v>196</v>
      </c>
      <c r="C4" s="189" t="s">
        <v>260</v>
      </c>
    </row>
    <row r="5" spans="1:5" ht="13.9" x14ac:dyDescent="0.4">
      <c r="B5" s="141" t="s">
        <v>197</v>
      </c>
      <c r="C5" s="192" t="s">
        <v>261</v>
      </c>
    </row>
    <row r="6" spans="1:5" ht="13.9" x14ac:dyDescent="0.4">
      <c r="B6" s="141" t="s">
        <v>164</v>
      </c>
      <c r="C6" s="190">
        <v>45603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217</v>
      </c>
      <c r="C8" s="192" t="s">
        <v>71</v>
      </c>
      <c r="E8" s="268"/>
    </row>
    <row r="9" spans="1:5" ht="13.9" x14ac:dyDescent="0.4">
      <c r="B9" s="140" t="s">
        <v>218</v>
      </c>
      <c r="C9" s="193" t="s">
        <v>262</v>
      </c>
    </row>
    <row r="10" spans="1:5" ht="13.9" x14ac:dyDescent="0.4">
      <c r="B10" s="140" t="s">
        <v>219</v>
      </c>
      <c r="C10" s="194">
        <v>3585525056</v>
      </c>
    </row>
    <row r="11" spans="1:5" ht="13.9" x14ac:dyDescent="0.4">
      <c r="B11" s="140" t="s">
        <v>220</v>
      </c>
      <c r="C11" s="193" t="s">
        <v>263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221</v>
      </c>
      <c r="C14" s="220">
        <v>45473</v>
      </c>
    </row>
    <row r="15" spans="1:5" ht="13.9" x14ac:dyDescent="0.4">
      <c r="B15" s="219" t="s">
        <v>257</v>
      </c>
      <c r="C15" s="177" t="s">
        <v>191</v>
      </c>
    </row>
    <row r="16" spans="1:5" ht="13.9" x14ac:dyDescent="0.4">
      <c r="B16" s="223" t="s">
        <v>97</v>
      </c>
      <c r="C16" s="224">
        <v>0.23499999999999999</v>
      </c>
      <c r="D16" s="24"/>
    </row>
    <row r="17" spans="2:13" ht="13.9" x14ac:dyDescent="0.4">
      <c r="B17" s="241" t="s">
        <v>226</v>
      </c>
      <c r="C17" s="243" t="s">
        <v>264</v>
      </c>
      <c r="D17" s="24"/>
    </row>
    <row r="18" spans="2:13" ht="13.9" x14ac:dyDescent="0.4">
      <c r="B18" s="241" t="s">
        <v>240</v>
      </c>
      <c r="C18" s="243" t="s">
        <v>247</v>
      </c>
      <c r="D18" s="24"/>
    </row>
    <row r="19" spans="2:13" ht="13.9" x14ac:dyDescent="0.4">
      <c r="B19" s="241" t="s">
        <v>241</v>
      </c>
      <c r="C19" s="243" t="s">
        <v>265</v>
      </c>
      <c r="D19" s="24"/>
    </row>
    <row r="20" spans="2:13" ht="13.9" x14ac:dyDescent="0.4">
      <c r="B20" s="242" t="s">
        <v>230</v>
      </c>
      <c r="C20" s="243" t="s">
        <v>247</v>
      </c>
      <c r="D20" s="24"/>
    </row>
    <row r="21" spans="2:13" ht="13.9" x14ac:dyDescent="0.4">
      <c r="B21" s="225" t="s">
        <v>233</v>
      </c>
      <c r="C21" s="243" t="s">
        <v>265</v>
      </c>
      <c r="D21" s="24"/>
    </row>
    <row r="22" spans="2:13" ht="78.75" x14ac:dyDescent="0.4">
      <c r="B22" s="227" t="s">
        <v>232</v>
      </c>
      <c r="C22" s="244" t="s">
        <v>266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2141790</v>
      </c>
      <c r="D25" s="150">
        <v>1462145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975048</v>
      </c>
      <c r="D26" s="151">
        <v>775627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961086</v>
      </c>
      <c r="D27" s="151">
        <v>799714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>
        <v>258378</v>
      </c>
      <c r="D29" s="151">
        <v>360932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17537</v>
      </c>
      <c r="D30" s="151">
        <v>-28933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f>(0.05+0.15)/7.8</f>
        <v>2.5641025641025644E-2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>
        <f>IF(C44="","",C44*Exchange_Rate/Dashboard!$G$3)</f>
        <v>1.7348461504925266E-3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251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222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8">
        <v>5</v>
      </c>
    </row>
    <row r="87" spans="2:8" ht="13.9" x14ac:dyDescent="0.4">
      <c r="B87" s="10" t="s">
        <v>250</v>
      </c>
      <c r="C87" s="237" t="s">
        <v>267</v>
      </c>
    </row>
    <row r="89" spans="2:8" ht="13.5" x14ac:dyDescent="0.35">
      <c r="B89" s="106" t="s">
        <v>128</v>
      </c>
      <c r="C89" s="269">
        <f>C24</f>
        <v>45291</v>
      </c>
      <c r="D89" s="269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0" t="s">
        <v>101</v>
      </c>
      <c r="D90" s="270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2141790</v>
      </c>
      <c r="D91" s="210"/>
      <c r="E91" s="252">
        <f>C91</f>
        <v>2141790</v>
      </c>
      <c r="F91" s="252">
        <f>C91</f>
        <v>2141790</v>
      </c>
    </row>
    <row r="92" spans="2:8" ht="13.9" x14ac:dyDescent="0.4">
      <c r="B92" s="104" t="s">
        <v>106</v>
      </c>
      <c r="C92" s="77">
        <f>C26</f>
        <v>975048</v>
      </c>
      <c r="D92" s="160">
        <f>C92/C91</f>
        <v>0.45524911405880131</v>
      </c>
      <c r="E92" s="253">
        <f>E91*D92</f>
        <v>975048</v>
      </c>
      <c r="F92" s="253">
        <f>F91*D92</f>
        <v>975048</v>
      </c>
    </row>
    <row r="93" spans="2:8" ht="13.9" x14ac:dyDescent="0.4">
      <c r="B93" s="104" t="s">
        <v>249</v>
      </c>
      <c r="C93" s="77">
        <f>C27+C28</f>
        <v>961086</v>
      </c>
      <c r="D93" s="160">
        <f>C93/C91</f>
        <v>0.44873026767330132</v>
      </c>
      <c r="E93" s="253">
        <f>E91*D93</f>
        <v>961086</v>
      </c>
      <c r="F93" s="253">
        <f>F91*D93</f>
        <v>961086</v>
      </c>
    </row>
    <row r="94" spans="2:8" ht="13.9" x14ac:dyDescent="0.4">
      <c r="B94" s="104" t="s">
        <v>258</v>
      </c>
      <c r="C94" s="77">
        <f>C29</f>
        <v>258378</v>
      </c>
      <c r="D94" s="160">
        <f>C94/C91</f>
        <v>0.12063647696552883</v>
      </c>
      <c r="E94" s="254"/>
      <c r="F94" s="253">
        <f>F91*D94</f>
        <v>258378</v>
      </c>
    </row>
    <row r="95" spans="2:8" ht="13.9" x14ac:dyDescent="0.4">
      <c r="B95" s="28" t="s">
        <v>248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22924.183006535946</v>
      </c>
      <c r="D97" s="160">
        <f>C97/C91</f>
        <v>1.0703282304304319E-2</v>
      </c>
      <c r="E97" s="254"/>
      <c r="F97" s="253">
        <f>F91*D97</f>
        <v>22924.183006535946</v>
      </c>
    </row>
    <row r="98" spans="2:7" ht="13.9" x14ac:dyDescent="0.4">
      <c r="B98" s="86" t="s">
        <v>209</v>
      </c>
      <c r="C98" s="238">
        <f>C44</f>
        <v>2.5641025641025644E-2</v>
      </c>
      <c r="D98" s="267"/>
      <c r="E98" s="255">
        <f>F98</f>
        <v>2.5641025641025644E-2</v>
      </c>
      <c r="F98" s="255">
        <f>C98</f>
        <v>2.5641025641025644E-2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7" sqref="C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0069.HK : SHANGRI-LA ASIA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5" t="str">
        <f>Inputs!C4</f>
        <v>0069.HK</v>
      </c>
      <c r="D3" s="276"/>
      <c r="E3" s="87"/>
      <c r="F3" s="3" t="s">
        <v>1</v>
      </c>
      <c r="G3" s="132">
        <v>14.779999732971191</v>
      </c>
      <c r="H3" s="134" t="s">
        <v>2</v>
      </c>
    </row>
    <row r="4" spans="1:10" ht="15.75" customHeight="1" x14ac:dyDescent="0.4">
      <c r="B4" s="35" t="s">
        <v>197</v>
      </c>
      <c r="C4" s="277" t="str">
        <f>Inputs!C5</f>
        <v>SHANGRI-LA ASIA</v>
      </c>
      <c r="D4" s="278"/>
      <c r="E4" s="87"/>
      <c r="F4" s="3" t="s">
        <v>3</v>
      </c>
      <c r="G4" s="281">
        <f>Inputs!C10</f>
        <v>3585525056</v>
      </c>
      <c r="H4" s="281"/>
      <c r="I4" s="39"/>
    </row>
    <row r="5" spans="1:10" ht="15.75" customHeight="1" x14ac:dyDescent="0.4">
      <c r="B5" s="3" t="s">
        <v>164</v>
      </c>
      <c r="C5" s="279">
        <f>Inputs!C6</f>
        <v>45603</v>
      </c>
      <c r="D5" s="280"/>
      <c r="E5" s="34"/>
      <c r="F5" s="35" t="s">
        <v>100</v>
      </c>
      <c r="G5" s="273">
        <f>G3*G4/1000000</f>
        <v>52994.059370241514</v>
      </c>
      <c r="H5" s="273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4" t="str">
        <f>Inputs!C11</f>
        <v>USD</v>
      </c>
      <c r="H6" s="274"/>
      <c r="I6" s="38"/>
    </row>
    <row r="7" spans="1:10" ht="15.75" customHeight="1" x14ac:dyDescent="0.4">
      <c r="B7" s="86" t="s">
        <v>194</v>
      </c>
      <c r="C7" s="188" t="str">
        <f>Inputs!C8</f>
        <v>N</v>
      </c>
      <c r="D7" s="188" t="str">
        <f>Inputs!C9</f>
        <v>C0011</v>
      </c>
      <c r="E7" s="87"/>
      <c r="F7" s="35" t="s">
        <v>6</v>
      </c>
      <c r="G7" s="133">
        <v>1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HK</v>
      </c>
      <c r="F16" s="110" t="s">
        <v>180</v>
      </c>
    </row>
    <row r="17" spans="1:8" ht="15.75" customHeight="1" thickTop="1" x14ac:dyDescent="0.4">
      <c r="B17" s="87" t="s">
        <v>256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0.45524911405880131</v>
      </c>
      <c r="F20" s="87" t="s">
        <v>213</v>
      </c>
      <c r="G20" s="173">
        <v>0.15</v>
      </c>
    </row>
    <row r="21" spans="1:8" ht="15.75" customHeight="1" x14ac:dyDescent="0.4">
      <c r="B21" s="137" t="s">
        <v>246</v>
      </c>
      <c r="C21" s="172">
        <f>Fin_Analysis!I77</f>
        <v>0.44873026767330132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1.0703282304304319E-2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0.12063647696552883</v>
      </c>
      <c r="F24" s="140" t="s">
        <v>176</v>
      </c>
      <c r="G24" s="179">
        <f>(Fin_Analysis!H86*G7)/G3</f>
        <v>-1.0919965499471846E-3</v>
      </c>
    </row>
    <row r="25" spans="1:8" ht="15.75" customHeight="1" x14ac:dyDescent="0.4">
      <c r="B25" s="137" t="s">
        <v>245</v>
      </c>
      <c r="C25" s="172">
        <f>Fin_Analysis!I82</f>
        <v>0</v>
      </c>
      <c r="F25" s="140" t="s">
        <v>175</v>
      </c>
      <c r="G25" s="172">
        <f>Fin_Analysis!I88</f>
        <v>-1.5886919702964573</v>
      </c>
    </row>
    <row r="26" spans="1:8" ht="15.75" customHeight="1" x14ac:dyDescent="0.4">
      <c r="B26" s="138" t="s">
        <v>174</v>
      </c>
      <c r="C26" s="172">
        <f>Fin_Analysis!I83</f>
        <v>-3.5319141001935742E-2</v>
      </c>
      <c r="F26" s="141" t="s">
        <v>195</v>
      </c>
      <c r="G26" s="179">
        <f>Fin_Analysis!H88*Exchange_Rate/G3</f>
        <v>1.7348461504925266E-3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239</v>
      </c>
      <c r="G28" s="271" t="s">
        <v>259</v>
      </c>
      <c r="H28" s="271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0.16560943975038728</v>
      </c>
      <c r="D29" s="129">
        <f>G29*(1+G20)</f>
        <v>0.32739133506230433</v>
      </c>
      <c r="E29" s="87"/>
      <c r="F29" s="131">
        <f>IF(Fin_Analysis!C108="Profit",Fin_Analysis!F100,IF(Fin_Analysis!C108="Dividend",Fin_Analysis!F103,Fin_Analysis!F106))</f>
        <v>0.19483463500045561</v>
      </c>
      <c r="G29" s="272">
        <f>IF(Fin_Analysis!C108="Profit",Fin_Analysis!I100,IF(Fin_Analysis!C108="Dividend",Fin_Analysis!I103,Fin_Analysis!I106))</f>
        <v>0.28468811744548206</v>
      </c>
      <c r="H29" s="272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Strongly agree</v>
      </c>
    </row>
    <row r="34" spans="1:3" ht="15.75" customHeight="1" x14ac:dyDescent="0.4">
      <c r="A34"/>
      <c r="B34" s="19" t="s">
        <v>227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240</v>
      </c>
      <c r="C36" s="246" t="str">
        <f>Inputs!C18</f>
        <v>unclear</v>
      </c>
    </row>
    <row r="37" spans="1:3" ht="15.75" customHeight="1" x14ac:dyDescent="0.4">
      <c r="A37"/>
      <c r="B37" s="20" t="s">
        <v>241</v>
      </c>
      <c r="C37" s="246" t="str">
        <f>Inputs!C19</f>
        <v>disagree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unclear</v>
      </c>
    </row>
    <row r="40" spans="1:3" ht="15.75" customHeight="1" x14ac:dyDescent="0.4">
      <c r="A40"/>
      <c r="B40" s="1" t="s">
        <v>233</v>
      </c>
      <c r="C40" s="246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>
        <f>C14</f>
        <v>182731.81699346405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USD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2141790</v>
      </c>
      <c r="D6" s="201">
        <f>IF(Inputs!D25="","",Inputs!D25)</f>
        <v>1462145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0.46482735980357615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975048</v>
      </c>
      <c r="D8" s="200">
        <f>IF(Inputs!D26="","",Inputs!D26)</f>
        <v>775627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1166742</v>
      </c>
      <c r="D9" s="152">
        <f t="shared" si="2"/>
        <v>686518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961086</v>
      </c>
      <c r="D10" s="200">
        <f>IF(Inputs!D27="","",Inputs!D27)</f>
        <v>799714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242</v>
      </c>
      <c r="C12" s="200">
        <f>IF(Inputs!C30="","",MAX(Inputs!C30,0)/(1-Fin_Analysis!$I$84))</f>
        <v>22924.183006535946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243</v>
      </c>
      <c r="C13" s="230">
        <f t="shared" ref="C13:M13" si="3">IF(C14="","",C14/C6)</f>
        <v>8.5317335963593088E-2</v>
      </c>
      <c r="D13" s="230">
        <f t="shared" si="3"/>
        <v>-7.7417766363801127E-2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235</v>
      </c>
      <c r="C14" s="231">
        <f>IF(C6="","",C9-C10-MAX(C11,0)-MAX(C12,0))</f>
        <v>182731.81699346405</v>
      </c>
      <c r="D14" s="231">
        <f t="shared" ref="D14:M14" si="4">IF(D6="","",D9-D10-MAX(D11,0)-MAX(D12,0))</f>
        <v>-113196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244</v>
      </c>
      <c r="C15" s="233" t="str">
        <f>IF(D14="","",IF(ABS(C14+D14)=ABS(C14)+ABS(D14),IF(C14&lt;0,-1,1)*(C14-D14)/D14,"Turn"))</f>
        <v>Turn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>
        <f>IF(Inputs!C29="","",Inputs!C29)</f>
        <v>258378</v>
      </c>
      <c r="D17" s="200">
        <f>IF(Inputs!D29="","",Inputs!D29)</f>
        <v>360932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237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-75646.183006535954</v>
      </c>
      <c r="D22" s="162">
        <f t="shared" ref="D22:M22" si="8">IF(D6="","",D14-MAX(D16,0)-MAX(D17,0)-ABS(MAX(D21,0)-MAX(D19,0)))</f>
        <v>-474128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-2.7019142866480845E-2</v>
      </c>
      <c r="D23" s="154">
        <f t="shared" si="9"/>
        <v>-0.24806562960581885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-57869.330000000009</v>
      </c>
      <c r="D24" s="77">
        <f>IF(D6="","",D22*(1-Fin_Analysis!$I$84))</f>
        <v>-362707.92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0.84045198130771448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0.45524911405880131</v>
      </c>
      <c r="D42" s="157">
        <f t="shared" si="34"/>
        <v>0.5304720120097528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236</v>
      </c>
      <c r="C43" s="154">
        <f t="shared" ref="C43:M43" si="35">IF(C6="","",(C10+MAX(C11,0))/C6)</f>
        <v>0.44873026767330132</v>
      </c>
      <c r="D43" s="154">
        <f t="shared" si="35"/>
        <v>0.54694575435404835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0.12063647696552883</v>
      </c>
      <c r="D45" s="154">
        <f t="shared" si="37"/>
        <v>0.2468510305065503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1.0703282304304319E-2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238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-3.5319141001935742E-2</v>
      </c>
      <c r="D48" s="154">
        <f t="shared" si="40"/>
        <v>-0.32426879687035143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-3.4156118621038121</v>
      </c>
      <c r="D55" s="154">
        <f t="shared" si="45"/>
        <v>-0.76125434481827692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2">
        <f>I15+I34</f>
        <v>0</v>
      </c>
      <c r="E56" s="28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1">
        <f>Inputs!C84</f>
        <v>0</v>
      </c>
      <c r="E57" s="28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1">
        <f>Inputs!C85</f>
        <v>0</v>
      </c>
      <c r="E58" s="28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9">
        <f>Data!C5</f>
        <v>45291</v>
      </c>
      <c r="D72" s="269"/>
      <c r="E72" s="283" t="s">
        <v>208</v>
      </c>
      <c r="F72" s="283"/>
      <c r="H72" s="283" t="s">
        <v>207</v>
      </c>
      <c r="I72" s="283"/>
      <c r="K72" s="50" t="s">
        <v>8</v>
      </c>
    </row>
    <row r="73" spans="1:11" ht="15" customHeight="1" x14ac:dyDescent="0.4">
      <c r="B73" s="12" t="str">
        <f>"(Numbers in "&amp;Data!C4&amp;Dashboard!G6&amp;")"</f>
        <v>(Numbers in 1000USD)</v>
      </c>
      <c r="C73" s="270" t="s">
        <v>101</v>
      </c>
      <c r="D73" s="270"/>
      <c r="E73" s="284" t="s">
        <v>102</v>
      </c>
      <c r="F73" s="270"/>
      <c r="H73" s="284" t="s">
        <v>102</v>
      </c>
      <c r="I73" s="270"/>
      <c r="K73" s="24"/>
    </row>
    <row r="74" spans="1:11" ht="15" customHeight="1" x14ac:dyDescent="0.4">
      <c r="B74" s="3" t="s">
        <v>127</v>
      </c>
      <c r="C74" s="77">
        <f>Data!C6</f>
        <v>2141790</v>
      </c>
      <c r="D74" s="210"/>
      <c r="E74" s="239">
        <f>Inputs!E91</f>
        <v>2141790</v>
      </c>
      <c r="F74" s="210"/>
      <c r="H74" s="239">
        <f>Inputs!F91</f>
        <v>2141790</v>
      </c>
      <c r="I74" s="210"/>
      <c r="K74" s="24"/>
    </row>
    <row r="75" spans="1:11" ht="15" customHeight="1" x14ac:dyDescent="0.4">
      <c r="B75" s="104" t="s">
        <v>106</v>
      </c>
      <c r="C75" s="77">
        <f>Data!C8</f>
        <v>975048</v>
      </c>
      <c r="D75" s="160">
        <f>C75/$C$74</f>
        <v>0.45524911405880131</v>
      </c>
      <c r="E75" s="239">
        <f>Inputs!E92</f>
        <v>975048</v>
      </c>
      <c r="F75" s="161">
        <f>E75/E74</f>
        <v>0.45524911405880131</v>
      </c>
      <c r="H75" s="239">
        <f>Inputs!F92</f>
        <v>975048</v>
      </c>
      <c r="I75" s="161">
        <f>H75/$H$74</f>
        <v>0.45524911405880131</v>
      </c>
      <c r="K75" s="24"/>
    </row>
    <row r="76" spans="1:11" ht="15" customHeight="1" x14ac:dyDescent="0.4">
      <c r="B76" s="35" t="s">
        <v>96</v>
      </c>
      <c r="C76" s="162">
        <f>C74-C75</f>
        <v>1166742</v>
      </c>
      <c r="D76" s="211"/>
      <c r="E76" s="163">
        <f>E74-E75</f>
        <v>1166742</v>
      </c>
      <c r="F76" s="211"/>
      <c r="H76" s="163">
        <f>H74-H75</f>
        <v>1166742</v>
      </c>
      <c r="I76" s="211"/>
      <c r="K76" s="24"/>
    </row>
    <row r="77" spans="1:11" ht="15" customHeight="1" x14ac:dyDescent="0.4">
      <c r="B77" s="104" t="s">
        <v>249</v>
      </c>
      <c r="C77" s="77">
        <f>Data!C10+MAX(Data!C11,0)</f>
        <v>961086</v>
      </c>
      <c r="D77" s="160">
        <f>C77/$C$74</f>
        <v>0.44873026767330132</v>
      </c>
      <c r="E77" s="239">
        <f>Inputs!E93</f>
        <v>961086</v>
      </c>
      <c r="F77" s="161">
        <f>E77/E74</f>
        <v>0.44873026767330132</v>
      </c>
      <c r="H77" s="239">
        <f>Inputs!F93</f>
        <v>961086</v>
      </c>
      <c r="I77" s="161">
        <f>H77/$H$74</f>
        <v>0.44873026767330132</v>
      </c>
      <c r="K77" s="24"/>
    </row>
    <row r="78" spans="1:11" ht="15" customHeight="1" x14ac:dyDescent="0.4">
      <c r="B78" s="73" t="s">
        <v>173</v>
      </c>
      <c r="C78" s="77">
        <f>MAX(Data!C12,0)</f>
        <v>22924.183006535946</v>
      </c>
      <c r="D78" s="160">
        <f>C78/$C$74</f>
        <v>1.0703282304304319E-2</v>
      </c>
      <c r="E78" s="181">
        <f>E74*F78</f>
        <v>22924.183006535946</v>
      </c>
      <c r="F78" s="161">
        <f>I78</f>
        <v>1.0703282304304319E-2</v>
      </c>
      <c r="H78" s="239">
        <f>Inputs!F97</f>
        <v>22924.183006535946</v>
      </c>
      <c r="I78" s="161">
        <f>H78/$H$74</f>
        <v>1.0703282304304319E-2</v>
      </c>
      <c r="K78" s="24"/>
    </row>
    <row r="79" spans="1:11" ht="15" customHeight="1" x14ac:dyDescent="0.4">
      <c r="B79" s="257" t="s">
        <v>234</v>
      </c>
      <c r="C79" s="258">
        <f>C76-C77-C78</f>
        <v>182731.81699346405</v>
      </c>
      <c r="D79" s="259">
        <f>C79/C74</f>
        <v>8.5317335963593088E-2</v>
      </c>
      <c r="E79" s="260">
        <f>E76-E77-E78</f>
        <v>182731.81699346405</v>
      </c>
      <c r="F79" s="259">
        <f>E79/E74</f>
        <v>8.5317335963593088E-2</v>
      </c>
      <c r="G79" s="261"/>
      <c r="H79" s="260">
        <f>H76-H77-H78</f>
        <v>182731.81699346405</v>
      </c>
      <c r="I79" s="259">
        <f>H79/H74</f>
        <v>8.5317335963593088E-2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258</v>
      </c>
      <c r="C81" s="77">
        <f>MAX(Data!C17,0)</f>
        <v>258378</v>
      </c>
      <c r="D81" s="160">
        <f>C81/$C$74</f>
        <v>0.12063647696552883</v>
      </c>
      <c r="E81" s="181">
        <f>E74*F81</f>
        <v>258378</v>
      </c>
      <c r="F81" s="161">
        <f>I81</f>
        <v>0.12063647696552883</v>
      </c>
      <c r="H81" s="239">
        <f>Inputs!F94</f>
        <v>258378</v>
      </c>
      <c r="I81" s="161">
        <f>H81/$H$74</f>
        <v>0.12063647696552883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-75646.183006535954</v>
      </c>
      <c r="D83" s="165">
        <f>C83/$C$74</f>
        <v>-3.5319141001935742E-2</v>
      </c>
      <c r="E83" s="166">
        <f>E79-E81-E82-E80</f>
        <v>-75646.183006535954</v>
      </c>
      <c r="F83" s="165">
        <f>E83/E74</f>
        <v>-3.5319141001935742E-2</v>
      </c>
      <c r="H83" s="166">
        <f>H79-H81-H82-H80</f>
        <v>-75646.183006535954</v>
      </c>
      <c r="I83" s="165">
        <f>H83/$H$74</f>
        <v>-3.5319141001935742E-2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0.23499999999999999</v>
      </c>
      <c r="E84" s="213"/>
      <c r="F84" s="180">
        <f t="shared" ref="F84" si="3">I84</f>
        <v>0.23499999999999999</v>
      </c>
      <c r="H84" s="213"/>
      <c r="I84" s="203">
        <f>Inputs!C16</f>
        <v>0.23499999999999999</v>
      </c>
      <c r="K84" s="24"/>
    </row>
    <row r="85" spans="1:11" ht="15" customHeight="1" x14ac:dyDescent="0.4">
      <c r="B85" s="264" t="s">
        <v>165</v>
      </c>
      <c r="C85" s="258">
        <f>C83*(1-I84)</f>
        <v>-57869.330000000009</v>
      </c>
      <c r="D85" s="259">
        <f>C85/$C$74</f>
        <v>-2.7019142866480845E-2</v>
      </c>
      <c r="E85" s="265">
        <f>E83*(1-F84)</f>
        <v>-57869.330000000009</v>
      </c>
      <c r="F85" s="259">
        <f>E85/E74</f>
        <v>-2.7019142866480845E-2</v>
      </c>
      <c r="G85" s="261"/>
      <c r="H85" s="265">
        <f>H83*(1-I84)</f>
        <v>-57869.330000000009</v>
      </c>
      <c r="I85" s="259">
        <f>H85/$H$74</f>
        <v>-2.7019142866480845E-2</v>
      </c>
      <c r="K85" s="24"/>
    </row>
    <row r="86" spans="1:11" ht="15" customHeight="1" x14ac:dyDescent="0.4">
      <c r="B86" s="87" t="s">
        <v>161</v>
      </c>
      <c r="C86" s="168">
        <f>C85*Data!C4/Common_Shares</f>
        <v>-1.6139708716624852E-2</v>
      </c>
      <c r="D86" s="210"/>
      <c r="E86" s="169">
        <f>E85*Data!C4/Common_Shares</f>
        <v>-1.6139708716624852E-2</v>
      </c>
      <c r="F86" s="210"/>
      <c r="H86" s="169">
        <f>H85*Data!C4/Common_Shares</f>
        <v>-1.6139708716624852E-2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-1.0919965499471846E-3</v>
      </c>
      <c r="D87" s="210"/>
      <c r="E87" s="263">
        <f>E86*Exchange_Rate/Dashboard!G3</f>
        <v>-1.0919965499471846E-3</v>
      </c>
      <c r="F87" s="210"/>
      <c r="H87" s="263">
        <f>H86*Exchange_Rate/Dashboard!G3</f>
        <v>-1.0919965499471846E-3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2.5641025641025644E-2</v>
      </c>
      <c r="D88" s="167">
        <f>C88/C86</f>
        <v>-1.5886919702964573</v>
      </c>
      <c r="E88" s="171">
        <f>Inputs!E98</f>
        <v>2.5641025641025644E-2</v>
      </c>
      <c r="F88" s="167">
        <f>E88/E86</f>
        <v>-1.5886919702964573</v>
      </c>
      <c r="H88" s="171">
        <f>Inputs!F98</f>
        <v>2.5641025641025644E-2</v>
      </c>
      <c r="I88" s="167">
        <f>H88/H86</f>
        <v>-1.5886919702964573</v>
      </c>
      <c r="K88" s="24"/>
    </row>
    <row r="89" spans="1:11" ht="15" customHeight="1" x14ac:dyDescent="0.4">
      <c r="B89" s="87" t="s">
        <v>223</v>
      </c>
      <c r="C89" s="262">
        <f>C88*Exchange_Rate/Dashboard!G3</f>
        <v>1.7348461504925266E-3</v>
      </c>
      <c r="D89" s="210"/>
      <c r="E89" s="262">
        <f>E88*Exchange_Rate/Dashboard!G3</f>
        <v>1.7348461504925266E-3</v>
      </c>
      <c r="F89" s="210"/>
      <c r="H89" s="262">
        <f>H88*Exchange_Rate/Dashboard!G3</f>
        <v>1.7348461504925266E-3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3" t="s">
        <v>208</v>
      </c>
      <c r="F92" s="283"/>
      <c r="G92" s="87"/>
      <c r="H92" s="283" t="s">
        <v>207</v>
      </c>
      <c r="I92" s="283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211</v>
      </c>
      <c r="F93" s="144">
        <f>FV(E87,D93,0,-(E86/C93))*Exchange_Rate</f>
        <v>-0.24320876415752299</v>
      </c>
      <c r="H93" s="87" t="s">
        <v>211</v>
      </c>
      <c r="I93" s="144">
        <f>FV(H87,D93,0,-(H86/C93))*Exchange_Rate</f>
        <v>-0.24320876415752299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0.39188204348210537</v>
      </c>
      <c r="H94" s="87" t="s">
        <v>212</v>
      </c>
      <c r="I94" s="144">
        <f>FV(H89,D93,0,-(H88/C93))*Exchange_Rate</f>
        <v>0.39188204348210537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239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-433553.58418932918</v>
      </c>
      <c r="D97" s="214"/>
      <c r="E97" s="123">
        <f>PV(C94,D93,0,-F93)</f>
        <v>-0.12091773935976902</v>
      </c>
      <c r="F97" s="214"/>
      <c r="H97" s="123">
        <f>PV(C94,D93,0,-I93)</f>
        <v>-0.12091773935976902</v>
      </c>
      <c r="I97" s="123">
        <f>PV(C93,D93,0,-I93)</f>
        <v>-0.17668236237368992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-433553.58418932918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239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698584.4655707482</v>
      </c>
      <c r="D103" s="109">
        <f>MIN(F103*(1-C94),E103)</f>
        <v>0.16560943975038728</v>
      </c>
      <c r="E103" s="123">
        <f>PV(C94,D93,0,-F94)</f>
        <v>0.19483463500045561</v>
      </c>
      <c r="F103" s="109">
        <f>(E103+H103)/2</f>
        <v>0.19483463500045561</v>
      </c>
      <c r="H103" s="123">
        <f>PV(C94,D93,0,-I94)</f>
        <v>0.19483463500045561</v>
      </c>
      <c r="I103" s="109">
        <f>PV(C93,D93,0,-I94)</f>
        <v>0.28468811744548206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239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349292.2327853741</v>
      </c>
      <c r="D106" s="109">
        <f>(D100+D103)/2</f>
        <v>8.2804719875193639E-2</v>
      </c>
      <c r="E106" s="123">
        <f>(E100+E103)/2</f>
        <v>9.7417317500227807E-2</v>
      </c>
      <c r="F106" s="109">
        <f>(F100+F103)/2</f>
        <v>9.7417317500227807E-2</v>
      </c>
      <c r="H106" s="123">
        <f>(H100+H103)/2</f>
        <v>9.7417317500227807E-2</v>
      </c>
      <c r="I106" s="123">
        <f>(I100+I103)/2</f>
        <v>0.14234405872274103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2024-11-29T10:03:22Z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