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6EFCF2C-2F0B-450B-94BD-833B3ADC901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1" i="4"/>
  <c r="F94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3" i="4" l="1"/>
  <c r="E95" i="4"/>
  <c r="F95" i="4"/>
  <c r="F96" i="4"/>
  <c r="E92" i="4"/>
  <c r="F97" i="4"/>
  <c r="F92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<sst xmlns="http://schemas.openxmlformats.org/spreadsheetml/2006/main" count="390" uniqueCount="267">
  <si>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</si>
  <si>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</si>
  <si>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</si>
  <si>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</si>
  <si>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</si>
  <si>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</si>
  <si>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</si>
  <si>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</si>
  <si>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</si>
  <si>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</si>
  <si>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</si>
  <si>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</si>
  <si>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</si>
  <si>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</si>
  <si>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</si>
  <si>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</si>
  <si>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</si>
  <si>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</si>
  <si>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</si>
  <si>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</si>
  <si>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</si>
  <si>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</si>
  <si>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</si>
  <si>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</si>
  <si>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</si>
  <si>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</si>
  <si>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</si>
  <si>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</si>
  <si>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</si>
  <si>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</si>
  <si>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</si>
  <si>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</si>
  <si>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</si>
  <si>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</si>
  <si>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</si>
  <si>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</si>
  <si>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</si>
  <si>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</si>
  <si>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</si>
  <si>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</si>
  <si>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</si>
  <si>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</si>
  <si>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</si>
  <si>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</si>
  <si>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</si>
  <si>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</si>
  <si>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</si>
  <si>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</si>
  <si>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</si>
  <si>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</si>
  <si>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</si>
  <si>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</si>
  <si>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</si>
  <si>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</si>
  <si>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</si>
  <si>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</si>
  <si>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</si>
  <si>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</si>
  <si>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</si>
  <si>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</si>
  <si>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</si>
  <si>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</si>
  <si>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</si>
  <si>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</si>
  <si>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</si>
  <si>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</si>
  <si>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</si>
  <si>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</si>
  <si>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</si>
  <si>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</si>
  <si>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</si>
  <si>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</si>
  <si>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</si>
  <si>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</si>
  <si>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</si>
  <si>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</si>
  <si>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</si>
  <si>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</si>
  <si>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</si>
  <si>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</si>
  <si>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</si>
  <si>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</si>
  <si>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</si>
  <si>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</si>
  <si>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</si>
  <si>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</si>
  <si>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</si>
  <si>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</si>
  <si>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</si>
  <si>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</si>
  <si>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</si>
  <si>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</si>
  <si>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</si>
  <si>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</si>
  <si>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</si>
  <si>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</si>
  <si>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</si>
  <si>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</si>
  <si>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</si>
  <si>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</si>
  <si>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</si>
  <si>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</si>
  <si>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</si>
  <si>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</si>
  <si>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</si>
  <si>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</si>
  <si>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</si>
  <si>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</si>
  <si>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</si>
  <si>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</si>
  <si>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</si>
  <si>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</si>
  <si>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</si>
  <si>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</si>
  <si>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</si>
  <si>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</si>
  <si>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</si>
  <si>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</si>
  <si>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</si>
  <si>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</si>
  <si>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</si>
  <si>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</si>
  <si>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</si>
  <si>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</si>
  <si>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</si>
  <si>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</si>
  <si>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</si>
  <si>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</si>
  <si>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</si>
  <si>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</si>
  <si>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</si>
  <si>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</si>
  <si>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</si>
  <si>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</si>
  <si>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</si>
  <si>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</si>
  <si>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</si>
  <si>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</si>
  <si>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</si>
  <si>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</si>
  <si>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</si>
  <si>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</si>
  <si>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</si>
  <si>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</si>
  <si>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</si>
  <si>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</si>
  <si>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</si>
  <si>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</si>
  <si>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</si>
  <si>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</si>
  <si>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</si>
  <si>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</si>
  <si>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</si>
  <si>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</si>
  <si>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</si>
  <si>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</si>
  <si>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</si>
  <si>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</si>
  <si>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</si>
  <si>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</si>
  <si>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</si>
  <si>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</si>
  <si>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</si>
  <si>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</si>
  <si>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</si>
  <si>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</si>
  <si>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</si>
  <si>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</si>
  <si>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</si>
  <si>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</si>
  <si>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</si>
  <si>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</si>
  <si>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</si>
  <si>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</si>
  <si>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</si>
  <si>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</si>
  <si>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</si>
  <si>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</si>
  <si>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</si>
  <si>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</si>
  <si>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</si>
  <si>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</si>
  <si>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</si>
  <si>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</si>
  <si>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</si>
  <si>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</si>
  <si>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</si>
  <si>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</si>
  <si>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</si>
  <si>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</si>
  <si>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</si>
  <si>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</si>
  <si>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</si>
  <si>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</si>
  <si>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</si>
  <si>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</si>
  <si>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</si>
  <si>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</si>
  <si>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</si>
  <si>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</si>
  <si>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</si>
  <si>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</si>
  <si>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</si>
  <si>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</si>
  <si>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</si>
  <si>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</si>
  <si>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</si>
  <si>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</si>
  <si>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</si>
  <si>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</si>
  <si>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</si>
  <si>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</si>
  <si>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</si>
  <si>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</si>
  <si>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</si>
  <si>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</si>
  <si>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</si>
  <si>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</si>
  <si>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</si>
  <si>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</si>
  <si>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</si>
  <si>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</si>
  <si>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</si>
  <si>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</si>
  <si>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</si>
  <si>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</si>
  <si>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</si>
  <si>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</si>
  <si>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</si>
  <si>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</si>
  <si>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</si>
  <si>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</si>
  <si>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</si>
  <si>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</si>
  <si>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</si>
  <si>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</si>
  <si>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</si>
  <si>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</si>
  <si>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</si>
  <si>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</si>
  <si>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</si>
  <si>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</si>
  <si>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</si>
  <si>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</si>
  <si>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</si>
  <si>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</si>
  <si>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</si>
  <si>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</si>
  <si>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</si>
  <si>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</si>
  <si>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</si>
  <si>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</si>
  <si>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</si>
  <si>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</si>
  <si>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</si>
  <si>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</si>
  <si>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</si>
  <si>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</si>
  <si>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</si>
  <si>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</si>
  <si>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0083.HK</t>
  </si>
  <si>
    <t>SINO LAND</t>
  </si>
  <si>
    <t>C0005</t>
  </si>
  <si>
    <t>Strongly agree</t>
  </si>
  <si>
    <t>agree</t>
  </si>
  <si>
    <t>Consumer Monopoly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</si>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</sst>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0.60969766115231028</c:v>
                </c:pt>
                <c:pt idx="1">
                  <c:v>0.12367370222475756</c:v>
                </c:pt>
                <c:pt idx="2">
                  <c:v>0</c:v>
                </c:pt>
                <c:pt idx="3">
                  <c:v>0.02</c:v>
                </c:pt>
                <c:pt idx="4">
                  <c:v>1.0724472333143184E-2</c:v>
                </c:pt>
                <c:pt idx="5">
                  <c:v>1.038220193953223E-2</c:v>
                </c:pt>
                <c:pt idx="6">
                  <c:v>0.22552196235025673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216</v>
      </c>
    </row>
    <row r="4" spans="1:5" ht="13.9" x14ac:dyDescent="0.4">
      <c r="B4" s="141" t="s">
        <v>196</v>
      </c>
      <c r="C4" s="189" t="s">
        <v>260</v>
      </c>
    </row>
    <row r="5" spans="1:5" ht="13.9" x14ac:dyDescent="0.4">
      <c r="B5" s="141" t="s">
        <v>197</v>
      </c>
      <c r="C5" s="192" t="s">
        <v>261</v>
      </c>
    </row>
    <row r="6" spans="1:5" ht="13.9" x14ac:dyDescent="0.4">
      <c r="B6" s="141" t="s">
        <v>164</v>
      </c>
      <c r="C6" s="190">
        <v>45593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217</v>
      </c>
      <c r="C8" s="192" t="s">
        <v>46</v>
      </c>
      <c r="E8" s="268"/>
    </row>
    <row r="9" spans="1:5" ht="13.9" x14ac:dyDescent="0.4">
      <c r="B9" s="140" t="s">
        <v>218</v>
      </c>
      <c r="C9" s="193" t="s">
        <v>262</v>
      </c>
    </row>
    <row r="10" spans="1:5" ht="13.9" x14ac:dyDescent="0.4">
      <c r="B10" s="140" t="s">
        <v>219</v>
      </c>
      <c r="C10" s="194">
        <v>8171879936</v>
      </c>
    </row>
    <row r="11" spans="1:5" ht="13.9" x14ac:dyDescent="0.4">
      <c r="B11" s="140" t="s">
        <v>220</v>
      </c>
      <c r="C11" s="193" t="s">
        <v>2</v>
      </c>
    </row>
    <row r="12" spans="1:5" ht="13.9" x14ac:dyDescent="0.4">
      <c r="B12" s="219" t="s">
        <v>10</v>
      </c>
      <c r="C12" s="220">
        <v>45473</v>
      </c>
    </row>
    <row r="13" spans="1:5" ht="13.9" x14ac:dyDescent="0.4">
      <c r="B13" s="219" t="s">
        <v>11</v>
      </c>
      <c r="C13" s="221">
        <v>1000000</v>
      </c>
    </row>
    <row r="14" spans="1:5" ht="13.9" x14ac:dyDescent="0.4">
      <c r="B14" s="219" t="s">
        <v>221</v>
      </c>
      <c r="C14" s="220">
        <v>45473</v>
      </c>
    </row>
    <row r="15" spans="1:5" ht="13.9" x14ac:dyDescent="0.4">
      <c r="B15" s="219" t="s">
        <v>257</v>
      </c>
      <c r="C15" s="177" t="s">
        <v>191</v>
      </c>
    </row>
    <row r="16" spans="1:5" ht="13.9" x14ac:dyDescent="0.4">
      <c r="B16" s="223" t="s">
        <v>97</v>
      </c>
      <c r="C16" s="224">
        <v>0.20500000000000002</v>
      </c>
      <c r="D16" s="24"/>
    </row>
    <row r="17" spans="2:13" ht="13.9" x14ac:dyDescent="0.4">
      <c r="B17" s="241" t="s">
        <v>226</v>
      </c>
      <c r="C17" s="243" t="s">
        <v>263</v>
      </c>
      <c r="D17" s="24"/>
    </row>
    <row r="18" spans="2:13" ht="13.9" x14ac:dyDescent="0.4">
      <c r="B18" s="241" t="s">
        <v>240</v>
      </c>
      <c r="C18" s="243" t="s">
        <v>247</v>
      </c>
      <c r="D18" s="24"/>
    </row>
    <row r="19" spans="2:13" ht="13.9" x14ac:dyDescent="0.4">
      <c r="B19" s="241" t="s">
        <v>241</v>
      </c>
      <c r="C19" s="243" t="s">
        <v>264</v>
      </c>
      <c r="D19" s="24"/>
    </row>
    <row r="20" spans="2:13" ht="13.9" x14ac:dyDescent="0.4">
      <c r="B20" s="242" t="s">
        <v>230</v>
      </c>
      <c r="C20" s="243" t="s">
        <v>264</v>
      </c>
      <c r="D20" s="24"/>
    </row>
    <row r="21" spans="2:13" ht="13.9" x14ac:dyDescent="0.4">
      <c r="B21" s="225" t="s">
        <v>233</v>
      </c>
      <c r="C21" s="243" t="s">
        <v>263</v>
      </c>
      <c r="D21" s="24"/>
    </row>
    <row r="22" spans="2:13" ht="78.75" x14ac:dyDescent="0.4">
      <c r="B22" s="227" t="s">
        <v>232</v>
      </c>
      <c r="C22" s="244" t="s">
        <v>265</v>
      </c>
      <c r="D22" s="24"/>
    </row>
    <row r="24" spans="2:13" ht="13.9" x14ac:dyDescent="0.4">
      <c r="B24" s="115" t="s">
        <v>134</v>
      </c>
      <c r="C24" s="48">
        <f>C12</f>
        <v>45473</v>
      </c>
      <c r="D24" s="49">
        <f>EOMONTH(EDATE(C24,-12),0)</f>
        <v>45107</v>
      </c>
      <c r="E24" s="49">
        <f t="shared" ref="E24:M24" si="0">EOMONTH(EDATE(D24,-12),0)</f>
        <v>44742</v>
      </c>
      <c r="F24" s="49">
        <f t="shared" si="0"/>
        <v>44377</v>
      </c>
      <c r="G24" s="49">
        <f t="shared" si="0"/>
        <v>44012</v>
      </c>
      <c r="H24" s="49">
        <f t="shared" si="0"/>
        <v>43646</v>
      </c>
      <c r="I24" s="49">
        <f t="shared" si="0"/>
        <v>43281</v>
      </c>
      <c r="J24" s="49">
        <f t="shared" si="0"/>
        <v>42916</v>
      </c>
      <c r="K24" s="49">
        <f t="shared" si="0"/>
        <v>42551</v>
      </c>
      <c r="L24" s="49">
        <f t="shared" si="0"/>
        <v>42185</v>
      </c>
      <c r="M24" s="49">
        <f t="shared" si="0"/>
        <v>41820</v>
      </c>
    </row>
    <row r="25" spans="2:13" ht="13.9" x14ac:dyDescent="0.4">
      <c r="B25" s="94" t="s">
        <v>12</v>
      </c>
      <c r="C25" s="150">
        <v>8765</v>
      </c>
      <c r="D25" s="150">
        <v>11881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5344</v>
      </c>
      <c r="D26" s="151">
        <v>6492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1084</v>
      </c>
      <c r="D27" s="151">
        <v>1129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>
        <v>94</v>
      </c>
      <c r="D29" s="151">
        <v>96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-151</v>
      </c>
      <c r="D30" s="151">
        <v>31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>
        <v>910</v>
      </c>
      <c r="D31" s="151">
        <v>2541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>
        <v>160</v>
      </c>
      <c r="D32" s="151">
        <v>198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>
        <v>69</v>
      </c>
      <c r="D33" s="151">
        <v>108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>
        <v>67641</v>
      </c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>
        <v>7251</v>
      </c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>
        <v>16389</v>
      </c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>
        <v>10902</v>
      </c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>
        <v>5263</v>
      </c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>
        <v>163105</v>
      </c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>
        <v>756</v>
      </c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v>0.57999999999999996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>
        <f>IF(C44="","",C44*Exchange_Rate/Dashboard!$G$3)</f>
        <v>3.9242219924140946E-2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251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>
        <v>45574</v>
      </c>
      <c r="D48" s="60">
        <v>0.9</v>
      </c>
      <c r="E48" s="112"/>
    </row>
    <row r="49" spans="2:5" ht="13.9" x14ac:dyDescent="0.4">
      <c r="B49" s="1" t="s">
        <v>136</v>
      </c>
      <c r="C49" s="59">
        <v>843</v>
      </c>
      <c r="D49" s="60">
        <v>0.8</v>
      </c>
      <c r="E49" s="112"/>
    </row>
    <row r="50" spans="2:5" ht="13.9" x14ac:dyDescent="0.4">
      <c r="B50" s="3" t="s">
        <v>117</v>
      </c>
      <c r="C50" s="59">
        <v>8192</v>
      </c>
      <c r="D50" s="60">
        <f>D51</f>
        <v>0.6</v>
      </c>
      <c r="E50" s="112"/>
    </row>
    <row r="51" spans="2:5" ht="13.9" x14ac:dyDescent="0.4">
      <c r="B51" s="3" t="s">
        <v>42</v>
      </c>
      <c r="C51" s="59">
        <v>13</v>
      </c>
      <c r="D51" s="60">
        <v>0.6</v>
      </c>
      <c r="E51" s="112"/>
    </row>
    <row r="52" spans="2:5" ht="13.9" x14ac:dyDescent="0.4">
      <c r="B52" s="3" t="s">
        <v>44</v>
      </c>
      <c r="C52" s="59">
        <v>6</v>
      </c>
      <c r="D52" s="60">
        <v>0.5</v>
      </c>
      <c r="E52" s="112"/>
    </row>
    <row r="53" spans="2:5" ht="13.9" x14ac:dyDescent="0.4">
      <c r="B53" s="1" t="s">
        <v>159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118</v>
      </c>
      <c r="C54" s="59">
        <v>0</v>
      </c>
      <c r="D54" s="60">
        <v>0.1</v>
      </c>
      <c r="E54" s="112"/>
    </row>
    <row r="55" spans="2:5" ht="13.9" x14ac:dyDescent="0.4">
      <c r="B55" s="3" t="s">
        <v>47</v>
      </c>
      <c r="C55" s="59">
        <v>6401</v>
      </c>
      <c r="D55" s="60">
        <f>D52</f>
        <v>0.5</v>
      </c>
      <c r="E55" s="112"/>
    </row>
    <row r="56" spans="2:5" ht="13.9" x14ac:dyDescent="0.4">
      <c r="B56" s="1" t="s">
        <v>48</v>
      </c>
      <c r="C56" s="59">
        <v>0</v>
      </c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>
        <v>9403</v>
      </c>
      <c r="D57" s="60">
        <v>0.6</v>
      </c>
      <c r="E57" s="222" t="s">
        <v>46</v>
      </c>
    </row>
    <row r="58" spans="2:5" ht="13.9" x14ac:dyDescent="0.4">
      <c r="B58" s="3" t="s">
        <v>50</v>
      </c>
      <c r="C58" s="59">
        <v>3</v>
      </c>
      <c r="D58" s="60">
        <f>D48</f>
        <v>0.9</v>
      </c>
      <c r="E58" s="112"/>
    </row>
    <row r="59" spans="2:5" ht="13.9" x14ac:dyDescent="0.4">
      <c r="B59" s="35" t="s">
        <v>51</v>
      </c>
      <c r="C59" s="120">
        <v>0</v>
      </c>
      <c r="D59" s="196">
        <f>D70</f>
        <v>0.05</v>
      </c>
      <c r="E59" s="112"/>
    </row>
    <row r="60" spans="2:5" ht="13.9" x14ac:dyDescent="0.4">
      <c r="B60" s="3" t="s">
        <v>61</v>
      </c>
      <c r="C60" s="59">
        <v>0</v>
      </c>
      <c r="D60" s="60">
        <f>D49</f>
        <v>0.8</v>
      </c>
      <c r="E60" s="112"/>
    </row>
    <row r="61" spans="2:5" ht="13.9" x14ac:dyDescent="0.4">
      <c r="B61" s="3" t="s">
        <v>63</v>
      </c>
      <c r="C61" s="59">
        <v>1241</v>
      </c>
      <c r="D61" s="60">
        <f>D51</f>
        <v>0.6</v>
      </c>
      <c r="E61" s="112"/>
    </row>
    <row r="62" spans="2:5" ht="13.9" x14ac:dyDescent="0.4">
      <c r="B62" s="3" t="s">
        <v>65</v>
      </c>
      <c r="C62" s="59">
        <v>69365</v>
      </c>
      <c r="D62" s="60">
        <f>D52</f>
        <v>0.5</v>
      </c>
      <c r="E62" s="112"/>
    </row>
    <row r="63" spans="2:5" ht="13.9" x14ac:dyDescent="0.4">
      <c r="B63" s="1" t="s">
        <v>160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68</v>
      </c>
      <c r="C64" s="59">
        <v>13047</v>
      </c>
      <c r="D64" s="60">
        <v>0.4</v>
      </c>
      <c r="E64" s="112"/>
    </row>
    <row r="65" spans="2:5" ht="13.9" x14ac:dyDescent="0.4">
      <c r="B65" s="3" t="s">
        <v>70</v>
      </c>
      <c r="C65" s="59">
        <v>23342</v>
      </c>
      <c r="D65" s="60">
        <v>0.1</v>
      </c>
      <c r="E65" s="222" t="s">
        <v>71</v>
      </c>
    </row>
    <row r="66" spans="2:5" ht="13.9" x14ac:dyDescent="0.4">
      <c r="B66" s="3" t="s">
        <v>72</v>
      </c>
      <c r="C66" s="59">
        <v>1641</v>
      </c>
      <c r="D66" s="60">
        <v>0.2</v>
      </c>
      <c r="E66" s="222" t="s">
        <v>71</v>
      </c>
    </row>
    <row r="67" spans="2:5" ht="13.9" x14ac:dyDescent="0.4">
      <c r="B67" s="1" t="s">
        <v>49</v>
      </c>
      <c r="C67" s="59">
        <v>0</v>
      </c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1263</v>
      </c>
      <c r="D68" s="60">
        <f>D65</f>
        <v>0.1</v>
      </c>
      <c r="E68" s="112"/>
    </row>
    <row r="69" spans="2:5" ht="13.9" x14ac:dyDescent="0.4">
      <c r="B69" s="3" t="s">
        <v>73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74</v>
      </c>
      <c r="C70" s="59">
        <v>0</v>
      </c>
      <c r="D70" s="60">
        <v>0.05</v>
      </c>
      <c r="E70" s="112"/>
    </row>
    <row r="71" spans="2:5" ht="13.9" x14ac:dyDescent="0.4">
      <c r="B71" s="3" t="s">
        <v>75</v>
      </c>
      <c r="C71" s="59">
        <v>10</v>
      </c>
      <c r="D71" s="60">
        <f>D58</f>
        <v>0.9</v>
      </c>
      <c r="E71" s="112"/>
    </row>
    <row r="72" spans="2:5" ht="14.25" thickBot="1" x14ac:dyDescent="0.45">
      <c r="B72" s="247" t="s">
        <v>76</v>
      </c>
      <c r="C72" s="248">
        <v>0</v>
      </c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>
        <v>20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7818</v>
      </c>
    </row>
    <row r="78" spans="2:5" ht="14.25" thickTop="1" x14ac:dyDescent="0.4">
      <c r="B78" s="3" t="s">
        <v>62</v>
      </c>
      <c r="C78" s="59">
        <v>832</v>
      </c>
    </row>
    <row r="79" spans="2:5" ht="13.9" x14ac:dyDescent="0.4">
      <c r="B79" s="3" t="s">
        <v>64</v>
      </c>
      <c r="C79" s="59">
        <v>15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6210</v>
      </c>
    </row>
    <row r="83" spans="2:8" ht="14.25" thickTop="1" x14ac:dyDescent="0.4">
      <c r="B83" s="73" t="s">
        <v>222</v>
      </c>
      <c r="C83" s="59">
        <v>165790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8">
        <v>5</v>
      </c>
    </row>
    <row r="87" spans="2:8" ht="13.9" x14ac:dyDescent="0.4">
      <c r="B87" s="10" t="s">
        <v>250</v>
      </c>
      <c r="C87" s="237" t="s">
        <v>266</v>
      </c>
    </row>
    <row r="89" spans="2:8" ht="13.5" x14ac:dyDescent="0.35">
      <c r="B89" s="106" t="s">
        <v>128</v>
      </c>
      <c r="C89" s="269">
        <f>C24</f>
        <v>45473</v>
      </c>
      <c r="D89" s="269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0" t="s">
        <v>101</v>
      </c>
      <c r="D90" s="270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8765</v>
      </c>
      <c r="D91" s="210"/>
      <c r="E91" s="252">
        <f>C91</f>
        <v>8765</v>
      </c>
      <c r="F91" s="252">
        <f>C91*1.2</f>
        <v>10518</v>
      </c>
    </row>
    <row r="92" spans="2:8" ht="13.9" x14ac:dyDescent="0.4">
      <c r="B92" s="104" t="s">
        <v>106</v>
      </c>
      <c r="C92" s="77">
        <f>C26</f>
        <v>5344</v>
      </c>
      <c r="D92" s="160">
        <f>C92/C91</f>
        <v>0.60969766115231028</v>
      </c>
      <c r="E92" s="253">
        <f>E91*D92</f>
        <v>5344</v>
      </c>
      <c r="F92" s="253">
        <f>F91*D92</f>
        <v>6412.7999999999993</v>
      </c>
    </row>
    <row r="93" spans="2:8" ht="13.9" x14ac:dyDescent="0.4">
      <c r="B93" s="104" t="s">
        <v>249</v>
      </c>
      <c r="C93" s="77">
        <f>C27+C28</f>
        <v>1084</v>
      </c>
      <c r="D93" s="160">
        <f>C93/C91</f>
        <v>0.12367370222475756</v>
      </c>
      <c r="E93" s="253">
        <f>E91*D93</f>
        <v>1084</v>
      </c>
      <c r="F93" s="253">
        <f>F91*D93</f>
        <v>1300.8</v>
      </c>
    </row>
    <row r="94" spans="2:8" ht="13.9" x14ac:dyDescent="0.4">
      <c r="B94" s="104" t="s">
        <v>258</v>
      </c>
      <c r="C94" s="77">
        <f>C29</f>
        <v>94</v>
      </c>
      <c r="D94" s="160">
        <f>C94/C91</f>
        <v>1.0724472333143184E-2</v>
      </c>
      <c r="E94" s="254"/>
      <c r="F94" s="253">
        <f>F91*D94</f>
        <v>112.80000000000001</v>
      </c>
    </row>
    <row r="95" spans="2:8" ht="13.9" x14ac:dyDescent="0.4">
      <c r="B95" s="28" t="s">
        <v>248</v>
      </c>
      <c r="C95" s="77">
        <f>ABS(MAX(C33,0)-C32)</f>
        <v>91</v>
      </c>
      <c r="D95" s="160">
        <f>C95/C91</f>
        <v>1.038220193953223E-2</v>
      </c>
      <c r="E95" s="253">
        <f>E91*D95</f>
        <v>91</v>
      </c>
      <c r="F95" s="253">
        <f>F91*D95</f>
        <v>109.2</v>
      </c>
    </row>
    <row r="96" spans="2:8" ht="13.9" x14ac:dyDescent="0.4">
      <c r="B96" s="28" t="s">
        <v>110</v>
      </c>
      <c r="C96" s="77">
        <f>MAX(C31,0)</f>
        <v>910</v>
      </c>
      <c r="D96" s="160">
        <f>C96/C91</f>
        <v>0.1038220193953223</v>
      </c>
      <c r="E96" s="254"/>
      <c r="F96" s="253">
        <f>F91*2%</f>
        <v>210.36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209</v>
      </c>
      <c r="C98" s="238">
        <f>C44</f>
        <v>0.57999999999999996</v>
      </c>
      <c r="D98" s="267"/>
      <c r="E98" s="255">
        <f>F98</f>
        <v>0.57999999999999996</v>
      </c>
      <c r="F98" s="255">
        <f>C98</f>
        <v>0.57999999999999996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7" sqref="C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0083.HK : SINO LAND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5" t="str">
        <f>Inputs!C4</f>
        <v>0083.HK</v>
      </c>
      <c r="D3" s="276"/>
      <c r="E3" s="87"/>
      <c r="F3" s="3" t="s">
        <v>1</v>
      </c>
      <c r="G3" s="132">
        <v>14.779999732971191</v>
      </c>
      <c r="H3" s="134" t="s">
        <v>2</v>
      </c>
    </row>
    <row r="4" spans="1:10" ht="15.75" customHeight="1" x14ac:dyDescent="0.4">
      <c r="B4" s="35" t="s">
        <v>197</v>
      </c>
      <c r="C4" s="277" t="str">
        <f>Inputs!C5</f>
        <v>SINO LAND</v>
      </c>
      <c r="D4" s="278"/>
      <c r="E4" s="87"/>
      <c r="F4" s="3" t="s">
        <v>3</v>
      </c>
      <c r="G4" s="281">
        <f>Inputs!C10</f>
        <v>8171879936</v>
      </c>
      <c r="H4" s="281"/>
      <c r="I4" s="39"/>
    </row>
    <row r="5" spans="1:10" ht="15.75" customHeight="1" x14ac:dyDescent="0.4">
      <c r="B5" s="3" t="s">
        <v>164</v>
      </c>
      <c r="C5" s="279">
        <f>Inputs!C6</f>
        <v>45593</v>
      </c>
      <c r="D5" s="280"/>
      <c r="E5" s="34"/>
      <c r="F5" s="35" t="s">
        <v>100</v>
      </c>
      <c r="G5" s="273">
        <f>G3*G4/1000000</f>
        <v>120780.38327195264</v>
      </c>
      <c r="H5" s="273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45473</v>
      </c>
      <c r="F6" s="3" t="s">
        <v>5</v>
      </c>
      <c r="G6" s="274" t="str">
        <f>Inputs!C11</f>
        <v>HKD</v>
      </c>
      <c r="H6" s="274"/>
      <c r="I6" s="38"/>
    </row>
    <row r="7" spans="1:10" ht="15.75" customHeight="1" x14ac:dyDescent="0.4">
      <c r="B7" s="86" t="s">
        <v>194</v>
      </c>
      <c r="C7" s="188" t="str">
        <f>Inputs!C8</f>
        <v>Y</v>
      </c>
      <c r="D7" s="188" t="str">
        <f>Inputs!C9</f>
        <v>C0005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HK</v>
      </c>
      <c r="F16" s="110" t="s">
        <v>180</v>
      </c>
    </row>
    <row r="17" spans="1:8" ht="15.75" customHeight="1" thickTop="1" x14ac:dyDescent="0.4">
      <c r="B17" s="87" t="s">
        <v>256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0.60969766115231028</v>
      </c>
      <c r="F20" s="87" t="s">
        <v>213</v>
      </c>
      <c r="G20" s="173">
        <v>0.15</v>
      </c>
    </row>
    <row r="21" spans="1:8" ht="15.75" customHeight="1" x14ac:dyDescent="0.4">
      <c r="B21" s="137" t="s">
        <v>246</v>
      </c>
      <c r="C21" s="172">
        <f>Fin_Analysis!I77</f>
        <v>0.12367370222475756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0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0.02</v>
      </c>
      <c r="F23" s="140" t="s">
        <v>190</v>
      </c>
      <c r="G23" s="178">
        <f>G3/(Data!C36*Data!C4/Common_Shares*Exchange_Rate)</f>
        <v>0.72621024598927719</v>
      </c>
    </row>
    <row r="24" spans="1:8" ht="15.75" customHeight="1" x14ac:dyDescent="0.4">
      <c r="B24" s="137" t="s">
        <v>171</v>
      </c>
      <c r="C24" s="172">
        <f>Fin_Analysis!I81</f>
        <v>1.0724472333143184E-2</v>
      </c>
      <c r="F24" s="140" t="s">
        <v>176</v>
      </c>
      <c r="G24" s="179">
        <f>(Fin_Analysis!H86*G7)/G3</f>
        <v>1.5613229142963897E-2</v>
      </c>
    </row>
    <row r="25" spans="1:8" ht="15.75" customHeight="1" x14ac:dyDescent="0.4">
      <c r="B25" s="137" t="s">
        <v>245</v>
      </c>
      <c r="C25" s="172">
        <f>Fin_Analysis!I82</f>
        <v>1.038220193953223E-2</v>
      </c>
      <c r="F25" s="140" t="s">
        <v>175</v>
      </c>
      <c r="G25" s="172">
        <f>Fin_Analysis!I88</f>
        <v>2.5133955035704743</v>
      </c>
    </row>
    <row r="26" spans="1:8" ht="15.75" customHeight="1" x14ac:dyDescent="0.4">
      <c r="B26" s="138" t="s">
        <v>174</v>
      </c>
      <c r="C26" s="172">
        <f>Fin_Analysis!I83</f>
        <v>0.22552196235025673</v>
      </c>
      <c r="F26" s="141" t="s">
        <v>195</v>
      </c>
      <c r="G26" s="179">
        <f>Fin_Analysis!H88*Exchange_Rate/G3</f>
        <v>3.9242219924140946E-2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239</v>
      </c>
      <c r="G28" s="271" t="s">
        <v>259</v>
      </c>
      <c r="H28" s="271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6.715508195495163</v>
      </c>
      <c r="D29" s="129">
        <f>G29*(1+G20)</f>
        <v>11.496945766805929</v>
      </c>
      <c r="E29" s="87"/>
      <c r="F29" s="131">
        <f>IF(Fin_Analysis!C108="Profit",Fin_Analysis!F100,IF(Fin_Analysis!C108="Dividend",Fin_Analysis!F103,Fin_Analysis!F106))</f>
        <v>7.9005978770531327</v>
      </c>
      <c r="G29" s="272">
        <f>IF(Fin_Analysis!C108="Profit",Fin_Analysis!I100,IF(Fin_Analysis!C108="Dividend",Fin_Analysis!I103,Fin_Analysis!I106))</f>
        <v>9.9973441450486344</v>
      </c>
      <c r="H29" s="272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Strongly agree</v>
      </c>
    </row>
    <row r="34" spans="1:3" ht="15.75" customHeight="1" x14ac:dyDescent="0.4">
      <c r="A34"/>
      <c r="B34" s="19" t="s">
        <v>227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240</v>
      </c>
      <c r="C36" s="246" t="str">
        <f>Inputs!C18</f>
        <v>unclear</v>
      </c>
    </row>
    <row r="37" spans="1:3" ht="15.75" customHeight="1" x14ac:dyDescent="0.4">
      <c r="A37"/>
      <c r="B37" s="20" t="s">
        <v>241</v>
      </c>
      <c r="C37" s="246" t="str">
        <f>Inputs!C19</f>
        <v>agree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agree</v>
      </c>
    </row>
    <row r="40" spans="1:3" ht="15.75" customHeight="1" x14ac:dyDescent="0.4">
      <c r="A40"/>
      <c r="B40" s="1" t="s">
        <v>233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45473</v>
      </c>
      <c r="E3" s="147" t="s">
        <v>202</v>
      </c>
      <c r="F3" s="85" t="str">
        <f>H14</f>
        <v/>
      </c>
      <c r="G3" s="85">
        <f>C14</f>
        <v>2337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45473</v>
      </c>
      <c r="D5" s="49">
        <f>EOMONTH(EDATE(C5,-12),0)</f>
        <v>45107</v>
      </c>
      <c r="E5" s="49">
        <f t="shared" ref="E5:M5" si="0">EOMONTH(EDATE(D5,-12),0)</f>
        <v>44742</v>
      </c>
      <c r="F5" s="49">
        <f t="shared" si="0"/>
        <v>44377</v>
      </c>
      <c r="G5" s="49">
        <f t="shared" si="0"/>
        <v>44012</v>
      </c>
      <c r="H5" s="49">
        <f t="shared" si="0"/>
        <v>43646</v>
      </c>
      <c r="I5" s="49">
        <f t="shared" si="0"/>
        <v>43281</v>
      </c>
      <c r="J5" s="49">
        <f t="shared" si="0"/>
        <v>42916</v>
      </c>
      <c r="K5" s="49">
        <f t="shared" si="0"/>
        <v>42551</v>
      </c>
      <c r="L5" s="49">
        <f t="shared" si="0"/>
        <v>42185</v>
      </c>
      <c r="M5" s="49">
        <f t="shared" si="0"/>
        <v>41820</v>
      </c>
    </row>
    <row r="6" spans="1:14" ht="15.75" customHeight="1" x14ac:dyDescent="0.4">
      <c r="A6" s="4"/>
      <c r="B6" s="94" t="s">
        <v>12</v>
      </c>
      <c r="C6" s="201">
        <f>IF(Inputs!C25=""," ",Inputs!C25)</f>
        <v>8765</v>
      </c>
      <c r="D6" s="201">
        <f>IF(Inputs!D25="","",Inputs!D25)</f>
        <v>11881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-0.26226748590186011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5344</v>
      </c>
      <c r="D8" s="200">
        <f>IF(Inputs!D26="","",Inputs!D26)</f>
        <v>6492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3421</v>
      </c>
      <c r="D9" s="152">
        <f t="shared" si="2"/>
        <v>5389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1084</v>
      </c>
      <c r="D10" s="200">
        <f>IF(Inputs!D27="","",Inputs!D27)</f>
        <v>1129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242</v>
      </c>
      <c r="C12" s="200">
        <f>IF(Inputs!C30="","",MAX(Inputs!C30,0)/(1-Fin_Analysis!$I$84))</f>
        <v>0</v>
      </c>
      <c r="D12" s="200">
        <f>IF(Inputs!D30="","",MAX(Inputs!D30,0)/(1-Fin_Analysis!$I$84))</f>
        <v>38.9937106918239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243</v>
      </c>
      <c r="C13" s="230">
        <f t="shared" ref="C13:M13" si="3">IF(C14="","",C14/C6)</f>
        <v>0.26662863662293212</v>
      </c>
      <c r="D13" s="230">
        <f t="shared" si="3"/>
        <v>0.35527365451630133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235</v>
      </c>
      <c r="C14" s="231">
        <f>IF(C6="","",C9-C10-MAX(C11,0)-MAX(C12,0))</f>
        <v>2337</v>
      </c>
      <c r="D14" s="231">
        <f t="shared" ref="D14:M14" si="4">IF(D6="","",D9-D10-MAX(D11,0)-MAX(D12,0))</f>
        <v>4221.0062893081758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244</v>
      </c>
      <c r="C15" s="233">
        <f>IF(D14="","",IF(ABS(C14+D14)=ABS(C14)+ABS(D14),IF(C14&lt;0,-1,1)*(C14-D14)/D14,"Turn"))</f>
        <v>-0.44634055487677682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>
        <f>IF(Inputs!C31="","",Inputs!C31)</f>
        <v>910</v>
      </c>
      <c r="D16" s="200">
        <f>IF(Inputs!D31="","",Inputs!D31)</f>
        <v>2541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>
        <f>IF(Inputs!C29="","",Inputs!C29)</f>
        <v>94</v>
      </c>
      <c r="D17" s="200">
        <f>IF(Inputs!D29="","",Inputs!D29)</f>
        <v>96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1.825442099258414E-2</v>
      </c>
      <c r="D18" s="153">
        <f t="shared" si="6"/>
        <v>1.6665263866677889E-2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160</v>
      </c>
      <c r="D19" s="200">
        <f>IF(Inputs!D32="","",Inputs!D32)</f>
        <v>198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237</v>
      </c>
      <c r="C20" s="153">
        <f t="shared" ref="C20:M20" si="7">IF(C6="","",MAX(C21,0)/C6)</f>
        <v>7.8722190530519116E-3</v>
      </c>
      <c r="D20" s="153">
        <f t="shared" si="7"/>
        <v>9.0901439272788494E-3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69</v>
      </c>
      <c r="D21" s="200">
        <f>IF(Inputs!D33="","",Inputs!D33)</f>
        <v>108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1242</v>
      </c>
      <c r="D22" s="162">
        <f t="shared" ref="D22:M22" si="8">IF(D6="","",D14-MAX(D16,0)-MAX(D17,0)-ABS(MAX(D21,0)-MAX(D19,0)))</f>
        <v>1494.0062893081758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0.11265145464917284</v>
      </c>
      <c r="D23" s="154">
        <f t="shared" si="9"/>
        <v>9.9969278680245743E-2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987.38999999999987</v>
      </c>
      <c r="D24" s="77">
        <f>IF(D6="","",D22*(1-Fin_Analysis!$I$84))</f>
        <v>1187.7349999999997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-0.16867819841968104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45107</v>
      </c>
      <c r="E26" s="49">
        <f t="shared" ref="E26" si="11">EOMONTH(EDATE(D26,-12),0)</f>
        <v>44742</v>
      </c>
      <c r="F26" s="49">
        <f t="shared" ref="F26" si="12">EOMONTH(EDATE(E26,-12),0)</f>
        <v>44377</v>
      </c>
      <c r="G26" s="49">
        <f t="shared" ref="G26" si="13">EOMONTH(EDATE(F26,-12),0)</f>
        <v>44012</v>
      </c>
      <c r="H26" s="49">
        <f t="shared" ref="H26" si="14">EOMONTH(EDATE(G26,-12),0)</f>
        <v>43646</v>
      </c>
      <c r="I26" s="49">
        <f t="shared" ref="I26" si="15">EOMONTH(EDATE(H26,-12),0)</f>
        <v>43281</v>
      </c>
      <c r="J26" s="49">
        <f t="shared" ref="J26" si="16">EOMONTH(EDATE(I26,-12),0)</f>
        <v>42916</v>
      </c>
      <c r="K26" s="49">
        <f t="shared" ref="K26" si="17">EOMONTH(EDATE(J26,-12),0)</f>
        <v>42551</v>
      </c>
      <c r="L26" s="49">
        <f t="shared" ref="L26" si="18">EOMONTH(EDATE(K26,-12),0)</f>
        <v>42185</v>
      </c>
      <c r="M26" s="49">
        <f t="shared" ref="M26" si="19">EOMONTH(EDATE(L26,-12),0)</f>
        <v>41820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180344</v>
      </c>
      <c r="D27" s="65">
        <f t="shared" ref="D27:M27" si="20">IF(D36="","",D36+D31+D32)</f>
        <v>179270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70435</v>
      </c>
      <c r="D28" s="200">
        <f>IF(Inputs!D34="","",Inputs!D34)</f>
        <v>67641</v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8192</v>
      </c>
      <c r="D29" s="200">
        <f>IF(Inputs!D35="","",Inputs!D35)</f>
        <v>7251</v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6401</v>
      </c>
      <c r="D30" s="200">
        <f>IF(Inputs!D36="","",Inputs!D36)</f>
        <v>16389</v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7818</v>
      </c>
      <c r="D31" s="200">
        <f>IF(Inputs!D37="","",Inputs!D37)</f>
        <v>10902</v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6210</v>
      </c>
      <c r="D32" s="200">
        <f>IF(Inputs!D38="","",Inputs!D38)</f>
        <v>5263</v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20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847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867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166316</v>
      </c>
      <c r="D36" s="200">
        <f>IF(Inputs!D41="","",Inputs!D41)</f>
        <v>163105</v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526</v>
      </c>
      <c r="D37" s="200">
        <f>IF(Inputs!D42="","",Inputs!D42)</f>
        <v>756</v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141182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39162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>
        <f>IF(C6="","",C14/MAX(C39,0))</f>
        <v>5.9675195342423777E-2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0.60969766115231028</v>
      </c>
      <c r="D42" s="157">
        <f t="shared" si="34"/>
        <v>0.54641865162865078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236</v>
      </c>
      <c r="C43" s="154">
        <f t="shared" ref="C43:M43" si="35">IF(C6="","",(C10+MAX(C11,0))/C6)</f>
        <v>0.12367370222475756</v>
      </c>
      <c r="D43" s="154">
        <f t="shared" si="35"/>
        <v>9.5025671239794635E-2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0.1038220193953223</v>
      </c>
      <c r="D44" s="154">
        <f t="shared" si="36"/>
        <v>0.21387088628903292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1.0724472333143184E-2</v>
      </c>
      <c r="D45" s="154">
        <f t="shared" si="37"/>
        <v>8.0801279353589772E-3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3.2820226152532532E-3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238</v>
      </c>
      <c r="C47" s="154">
        <f>IF(C6="","",ABS(MAX(C21,0)-MAX(C19,0))/C6)</f>
        <v>1.038220193953223E-2</v>
      </c>
      <c r="D47" s="154">
        <f t="shared" ref="D47:M47" si="39">IF(D6="","",ABS(MAX(D21,0)-MAX(D19,0))/D6)</f>
        <v>7.5751199393990403E-3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0.1416999429549344</v>
      </c>
      <c r="D48" s="154">
        <f t="shared" si="40"/>
        <v>0.12574752035251038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0.93462635482030809</v>
      </c>
      <c r="D50" s="157">
        <f t="shared" si="41"/>
        <v>0.61030216311758267</v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0.73029092983456934</v>
      </c>
      <c r="D51" s="154">
        <f t="shared" si="42"/>
        <v>1.3794293409645653</v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7.7784678170607288E-2</v>
      </c>
      <c r="D53" s="157">
        <f t="shared" ref="D53:M53" si="43">IF(D36="","",(D27-D36)/D27)</f>
        <v>9.0171250069727232E-2</v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1.4325259515570934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7.5684380032206122E-2</v>
      </c>
      <c r="D55" s="154">
        <f t="shared" si="45"/>
        <v>6.4256757610072962E-2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9.0093374264517774</v>
      </c>
      <c r="D56" s="159">
        <f t="shared" si="46"/>
        <v>6.2044578976334614</v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166316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165790</v>
      </c>
      <c r="K3" s="24"/>
    </row>
    <row r="4" spans="1:11" ht="15" customHeight="1" x14ac:dyDescent="0.4">
      <c r="B4" s="3" t="s">
        <v>25</v>
      </c>
      <c r="C4" s="87"/>
      <c r="D4" s="65">
        <f>D3-I3</f>
        <v>526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9.0093374264517774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84351.6</v>
      </c>
      <c r="E6" s="56">
        <f>1-D6/D3</f>
        <v>0.4928233002236706</v>
      </c>
      <c r="F6" s="87"/>
      <c r="G6" s="87"/>
      <c r="H6" s="1" t="s">
        <v>30</v>
      </c>
      <c r="I6" s="63">
        <f>(C24+C25)/I28</f>
        <v>6.9874648247633662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10.322178086391308</v>
      </c>
      <c r="E7" s="11" t="str">
        <f>Dashboard!H3</f>
        <v>HKD</v>
      </c>
      <c r="H7" s="1" t="s">
        <v>31</v>
      </c>
      <c r="I7" s="63">
        <f>C24/I28</f>
        <v>6.9866973650550017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45574</v>
      </c>
      <c r="D11" s="199">
        <f>Inputs!D48</f>
        <v>0.9</v>
      </c>
      <c r="E11" s="88">
        <f t="shared" ref="E11:E22" si="0">C11*D11</f>
        <v>41016.6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843</v>
      </c>
      <c r="D12" s="199">
        <f>Inputs!D49</f>
        <v>0.8</v>
      </c>
      <c r="E12" s="88">
        <f t="shared" si="0"/>
        <v>674.40000000000009</v>
      </c>
      <c r="F12" s="112"/>
      <c r="G12" s="87"/>
      <c r="H12" s="3" t="s">
        <v>40</v>
      </c>
      <c r="I12" s="40">
        <f>Inputs!C74</f>
        <v>20</v>
      </c>
      <c r="J12" s="87"/>
      <c r="K12" s="24"/>
    </row>
    <row r="13" spans="1:11" ht="13.9" x14ac:dyDescent="0.4">
      <c r="B13" s="3" t="s">
        <v>117</v>
      </c>
      <c r="C13" s="40">
        <f>Inputs!C50</f>
        <v>8192</v>
      </c>
      <c r="D13" s="199">
        <f>Inputs!D50</f>
        <v>0.6</v>
      </c>
      <c r="E13" s="88">
        <f t="shared" si="0"/>
        <v>4915.2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13</v>
      </c>
      <c r="D14" s="199">
        <f>Inputs!D51</f>
        <v>0.6</v>
      </c>
      <c r="E14" s="88">
        <f t="shared" si="0"/>
        <v>7.8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6</v>
      </c>
      <c r="D15" s="199">
        <f>Inputs!D52</f>
        <v>0.5</v>
      </c>
      <c r="E15" s="88">
        <f t="shared" si="0"/>
        <v>3</v>
      </c>
      <c r="F15" s="112"/>
      <c r="G15" s="87"/>
      <c r="H15" s="1" t="s">
        <v>54</v>
      </c>
      <c r="I15" s="84">
        <f>SUM(I11:I14)</f>
        <v>20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6401</v>
      </c>
      <c r="D18" s="199">
        <f>Inputs!D55</f>
        <v>0.5</v>
      </c>
      <c r="E18" s="88">
        <f t="shared" si="0"/>
        <v>3200.5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9403</v>
      </c>
      <c r="D20" s="199">
        <f>Inputs!D57</f>
        <v>0.6</v>
      </c>
      <c r="E20" s="88">
        <f t="shared" si="0"/>
        <v>5641.8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3</v>
      </c>
      <c r="D21" s="199">
        <f>Inputs!D58</f>
        <v>0.9</v>
      </c>
      <c r="E21" s="88">
        <f t="shared" si="0"/>
        <v>2.7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7798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54622</v>
      </c>
      <c r="D24" s="62">
        <f>IF(E24=0,0,E24/C24)</f>
        <v>0.85339240599026034</v>
      </c>
      <c r="E24" s="88">
        <f>SUM(E11:E14)</f>
        <v>46614</v>
      </c>
      <c r="F24" s="113">
        <f>E24/$E$28</f>
        <v>0.8404673470123688</v>
      </c>
      <c r="G24" s="87"/>
    </row>
    <row r="25" spans="2:10" ht="15" customHeight="1" x14ac:dyDescent="0.4">
      <c r="B25" s="23" t="s">
        <v>55</v>
      </c>
      <c r="C25" s="61">
        <f>SUM(C15:C17)</f>
        <v>6</v>
      </c>
      <c r="D25" s="62">
        <f>IF(E25=0,0,E25/C25)</f>
        <v>0.5</v>
      </c>
      <c r="E25" s="88">
        <f>SUM(E15:E17)</f>
        <v>3</v>
      </c>
      <c r="F25" s="113">
        <f>E25/$E$28</f>
        <v>5.4091089394540409E-5</v>
      </c>
      <c r="G25" s="87"/>
      <c r="H25" s="23" t="s">
        <v>56</v>
      </c>
      <c r="I25" s="63">
        <f>E28/I28</f>
        <v>7.0941417242261444</v>
      </c>
    </row>
    <row r="26" spans="2:10" ht="15" customHeight="1" x14ac:dyDescent="0.4">
      <c r="B26" s="23" t="s">
        <v>57</v>
      </c>
      <c r="C26" s="61">
        <f>C18+C19+C20</f>
        <v>15804</v>
      </c>
      <c r="D26" s="62">
        <f>IF(E26=0,0,E26/C26)</f>
        <v>0.55949759554543144</v>
      </c>
      <c r="E26" s="88">
        <f>E18+E19+E20</f>
        <v>8842.2999999999993</v>
      </c>
      <c r="F26" s="113">
        <f>E26/$E$28</f>
        <v>0.15942987991778154</v>
      </c>
      <c r="G26" s="87"/>
      <c r="H26" s="23" t="s">
        <v>58</v>
      </c>
      <c r="I26" s="63">
        <f>E24/($I$28-I22)</f>
        <v>2330.6999999999998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3</v>
      </c>
      <c r="D27" s="62">
        <f>IF(E27=0,0,E27/C27)</f>
        <v>0.9</v>
      </c>
      <c r="E27" s="88">
        <f>E21+E22</f>
        <v>2.7</v>
      </c>
      <c r="F27" s="113">
        <f>E27/$E$28</f>
        <v>4.8681980455086372E-5</v>
      </c>
      <c r="G27" s="87"/>
      <c r="H27" s="23" t="s">
        <v>60</v>
      </c>
      <c r="I27" s="63">
        <f>(E25+E24)/$I$28</f>
        <v>5.9627782041442821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70435</v>
      </c>
      <c r="D28" s="57">
        <f>E28/C28</f>
        <v>0.78742102647831336</v>
      </c>
      <c r="E28" s="70">
        <f>SUM(E24:E27)</f>
        <v>55462</v>
      </c>
      <c r="F28" s="112"/>
      <c r="G28" s="87"/>
      <c r="H28" s="78" t="s">
        <v>16</v>
      </c>
      <c r="I28" s="207">
        <f>Inputs!C77</f>
        <v>7818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832</v>
      </c>
      <c r="J30" s="87"/>
    </row>
    <row r="31" spans="2:10" ht="15" customHeight="1" x14ac:dyDescent="0.4">
      <c r="B31" s="3" t="s">
        <v>63</v>
      </c>
      <c r="C31" s="40">
        <f>Inputs!C61</f>
        <v>1241</v>
      </c>
      <c r="D31" s="199">
        <f>Inputs!D61</f>
        <v>0.6</v>
      </c>
      <c r="E31" s="88">
        <f t="shared" ref="E31:E42" si="1">C31*D31</f>
        <v>744.6</v>
      </c>
      <c r="F31" s="112"/>
      <c r="G31" s="87"/>
      <c r="H31" s="3" t="s">
        <v>64</v>
      </c>
      <c r="I31" s="40">
        <f>Inputs!C79</f>
        <v>15</v>
      </c>
      <c r="J31" s="87"/>
    </row>
    <row r="32" spans="2:10" ht="15" customHeight="1" x14ac:dyDescent="0.4">
      <c r="B32" s="3" t="s">
        <v>65</v>
      </c>
      <c r="C32" s="40">
        <f>Inputs!C62</f>
        <v>69365</v>
      </c>
      <c r="D32" s="199">
        <f>Inputs!D62</f>
        <v>0.5</v>
      </c>
      <c r="E32" s="88">
        <f t="shared" si="1"/>
        <v>34682.5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13047</v>
      </c>
      <c r="D34" s="199">
        <f>Inputs!D64</f>
        <v>0.4</v>
      </c>
      <c r="E34" s="88">
        <f t="shared" si="1"/>
        <v>5218.8</v>
      </c>
      <c r="F34" s="112"/>
      <c r="G34" s="87"/>
      <c r="H34" s="1" t="s">
        <v>78</v>
      </c>
      <c r="I34" s="84">
        <f>SUM(I30:I33)</f>
        <v>847</v>
      </c>
      <c r="J34" s="87"/>
    </row>
    <row r="35" spans="2:10" ht="13.9" x14ac:dyDescent="0.4">
      <c r="B35" s="3" t="s">
        <v>70</v>
      </c>
      <c r="C35" s="40">
        <f>Inputs!C65</f>
        <v>23342</v>
      </c>
      <c r="D35" s="199">
        <f>Inputs!D65</f>
        <v>0.1</v>
      </c>
      <c r="E35" s="88">
        <f t="shared" si="1"/>
        <v>2334.2000000000003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1641</v>
      </c>
      <c r="D36" s="199">
        <f>Inputs!D66</f>
        <v>0.2</v>
      </c>
      <c r="E36" s="88">
        <f t="shared" si="1"/>
        <v>328.20000000000005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1263</v>
      </c>
      <c r="D38" s="199">
        <f>Inputs!D68</f>
        <v>0.1</v>
      </c>
      <c r="E38" s="88">
        <f t="shared" si="1"/>
        <v>126.30000000000001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10</v>
      </c>
      <c r="D41" s="199">
        <f>Inputs!D71</f>
        <v>0.9</v>
      </c>
      <c r="E41" s="88">
        <f t="shared" si="1"/>
        <v>9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5363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1241</v>
      </c>
      <c r="D44" s="62">
        <f>IF(E44=0,0,E44/C44)</f>
        <v>0.6</v>
      </c>
      <c r="E44" s="88">
        <f>SUM(E30:E31)</f>
        <v>744.6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105754</v>
      </c>
      <c r="D45" s="62">
        <f>IF(E45=0,0,E45/C45)</f>
        <v>0.39937496454034838</v>
      </c>
      <c r="E45" s="88">
        <f>SUM(E32:E35)</f>
        <v>42235.5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2904</v>
      </c>
      <c r="D46" s="62">
        <f>IF(E46=0,0,E46/C46)</f>
        <v>0.15650826446280994</v>
      </c>
      <c r="E46" s="88">
        <f>E36+E37+E38+E39</f>
        <v>454.50000000000006</v>
      </c>
      <c r="F46" s="87"/>
      <c r="G46" s="87"/>
      <c r="H46" s="23" t="s">
        <v>81</v>
      </c>
      <c r="I46" s="63">
        <f>(E44+E24)/E64</f>
        <v>54.623529411764707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10</v>
      </c>
      <c r="D47" s="62">
        <f>IF(E47=0,0,E47/C47)</f>
        <v>0.9</v>
      </c>
      <c r="E47" s="88">
        <f>E40+E41+E42</f>
        <v>9</v>
      </c>
      <c r="F47" s="87"/>
      <c r="G47" s="87"/>
      <c r="H47" s="23" t="s">
        <v>83</v>
      </c>
      <c r="I47" s="63">
        <f>(E44+E45+E24+E25)/$I$49</f>
        <v>6.38701881950385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109909</v>
      </c>
      <c r="D48" s="82">
        <f>E48/C48</f>
        <v>0.39526881329099528</v>
      </c>
      <c r="E48" s="76">
        <f>SUM(E30:E42)</f>
        <v>43443.6</v>
      </c>
      <c r="F48" s="87"/>
      <c r="G48" s="87"/>
      <c r="H48" s="80" t="s">
        <v>85</v>
      </c>
      <c r="I48" s="208">
        <f>Inputs!C82</f>
        <v>6210</v>
      </c>
      <c r="J48" s="8"/>
    </row>
    <row r="49" spans="2:11" ht="15" customHeight="1" thickTop="1" x14ac:dyDescent="0.4">
      <c r="B49" s="3" t="s">
        <v>14</v>
      </c>
      <c r="C49" s="61">
        <f>C28+C48</f>
        <v>180344</v>
      </c>
      <c r="D49" s="56">
        <f>E49/C49</f>
        <v>0.54842744976267577</v>
      </c>
      <c r="E49" s="88">
        <f>E28+E48</f>
        <v>98905.600000000006</v>
      </c>
      <c r="F49" s="87"/>
      <c r="G49" s="87"/>
      <c r="H49" s="3" t="s">
        <v>86</v>
      </c>
      <c r="I49" s="52">
        <f>I28+I48</f>
        <v>14028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526</v>
      </c>
      <c r="D53" s="29">
        <f>IF(E53=0, 0,E53/C53)</f>
        <v>1</v>
      </c>
      <c r="E53" s="88">
        <f>IF(C53=0,0,MAX(C53,C53*Dashboard!G23))</f>
        <v>526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2">
        <f>I15+I34</f>
        <v>867</v>
      </c>
      <c r="E56" s="28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1">
        <f>Inputs!C84</f>
        <v>0</v>
      </c>
      <c r="E57" s="28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1">
        <f>Inputs!C85</f>
        <v>0</v>
      </c>
      <c r="E58" s="28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95608</v>
      </c>
      <c r="D61" s="56">
        <f t="shared" ref="D61:D70" si="2">IF(E61=0,0,E61/C61)</f>
        <v>0.39850535520040159</v>
      </c>
      <c r="E61" s="52">
        <f>E14+E15+(E19*G19)+(E20*G20)+E31+E32+(E35*G35)+(E36*G36)+(E37*G37)</f>
        <v>38100.299999999996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45574</v>
      </c>
      <c r="D62" s="107">
        <f t="shared" si="2"/>
        <v>0.9</v>
      </c>
      <c r="E62" s="118">
        <f>E11+E30</f>
        <v>41016.6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141182</v>
      </c>
      <c r="D63" s="29">
        <f t="shared" si="2"/>
        <v>0.56038942641413203</v>
      </c>
      <c r="E63" s="61">
        <f>E61+E62</f>
        <v>79116.899999999994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867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140315</v>
      </c>
      <c r="D65" s="29">
        <f t="shared" si="2"/>
        <v>0.55767309268431742</v>
      </c>
      <c r="E65" s="61">
        <f>E63-E64</f>
        <v>78249.899999999994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39162</v>
      </c>
      <c r="D68" s="29">
        <f t="shared" si="2"/>
        <v>0.50530361064297047</v>
      </c>
      <c r="E68" s="68">
        <f>E49-E63</f>
        <v>19788.700000000012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13161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26001</v>
      </c>
      <c r="D70" s="29">
        <f t="shared" si="2"/>
        <v>0.25490173454867165</v>
      </c>
      <c r="E70" s="68">
        <f>E68-E69</f>
        <v>6627.7000000000116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9">
        <f>Data!C5</f>
        <v>45473</v>
      </c>
      <c r="D72" s="269"/>
      <c r="E72" s="283" t="s">
        <v>208</v>
      </c>
      <c r="F72" s="283"/>
      <c r="H72" s="283" t="s">
        <v>207</v>
      </c>
      <c r="I72" s="283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0" t="s">
        <v>101</v>
      </c>
      <c r="D73" s="270"/>
      <c r="E73" s="284" t="s">
        <v>102</v>
      </c>
      <c r="F73" s="270"/>
      <c r="H73" s="284" t="s">
        <v>102</v>
      </c>
      <c r="I73" s="270"/>
      <c r="K73" s="24"/>
    </row>
    <row r="74" spans="1:11" ht="15" customHeight="1" x14ac:dyDescent="0.4">
      <c r="B74" s="3" t="s">
        <v>127</v>
      </c>
      <c r="C74" s="77">
        <f>Data!C6</f>
        <v>8765</v>
      </c>
      <c r="D74" s="210"/>
      <c r="E74" s="239">
        <f>Inputs!E91</f>
        <v>8765</v>
      </c>
      <c r="F74" s="210"/>
      <c r="H74" s="239">
        <f>Inputs!F91</f>
        <v>10518</v>
      </c>
      <c r="I74" s="210"/>
      <c r="K74" s="24"/>
    </row>
    <row r="75" spans="1:11" ht="15" customHeight="1" x14ac:dyDescent="0.4">
      <c r="B75" s="104" t="s">
        <v>106</v>
      </c>
      <c r="C75" s="77">
        <f>Data!C8</f>
        <v>5344</v>
      </c>
      <c r="D75" s="160">
        <f>C75/$C$74</f>
        <v>0.60969766115231028</v>
      </c>
      <c r="E75" s="239">
        <f>Inputs!E92</f>
        <v>5344</v>
      </c>
      <c r="F75" s="161">
        <f>E75/E74</f>
        <v>0.60969766115231028</v>
      </c>
      <c r="H75" s="239">
        <f>Inputs!F92</f>
        <v>6412.7999999999993</v>
      </c>
      <c r="I75" s="161">
        <f>H75/$H$74</f>
        <v>0.60969766115231028</v>
      </c>
      <c r="K75" s="24"/>
    </row>
    <row r="76" spans="1:11" ht="15" customHeight="1" x14ac:dyDescent="0.4">
      <c r="B76" s="35" t="s">
        <v>96</v>
      </c>
      <c r="C76" s="162">
        <f>C74-C75</f>
        <v>3421</v>
      </c>
      <c r="D76" s="211"/>
      <c r="E76" s="163">
        <f>E74-E75</f>
        <v>3421</v>
      </c>
      <c r="F76" s="211"/>
      <c r="H76" s="163">
        <f>H74-H75</f>
        <v>4105.2000000000007</v>
      </c>
      <c r="I76" s="211"/>
      <c r="K76" s="24"/>
    </row>
    <row r="77" spans="1:11" ht="15" customHeight="1" x14ac:dyDescent="0.4">
      <c r="B77" s="104" t="s">
        <v>249</v>
      </c>
      <c r="C77" s="77">
        <f>Data!C10+MAX(Data!C11,0)</f>
        <v>1084</v>
      </c>
      <c r="D77" s="160">
        <f>C77/$C$74</f>
        <v>0.12367370222475756</v>
      </c>
      <c r="E77" s="239">
        <f>Inputs!E93</f>
        <v>1084</v>
      </c>
      <c r="F77" s="161">
        <f>E77/E74</f>
        <v>0.12367370222475756</v>
      </c>
      <c r="H77" s="239">
        <f>Inputs!F93</f>
        <v>1300.8</v>
      </c>
      <c r="I77" s="161">
        <f>H77/$H$74</f>
        <v>0.12367370222475756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234</v>
      </c>
      <c r="C79" s="258">
        <f>C76-C77-C78</f>
        <v>2337</v>
      </c>
      <c r="D79" s="259">
        <f>C79/C74</f>
        <v>0.26662863662293212</v>
      </c>
      <c r="E79" s="260">
        <f>E76-E77-E78</f>
        <v>2337</v>
      </c>
      <c r="F79" s="259">
        <f>E79/E74</f>
        <v>0.26662863662293212</v>
      </c>
      <c r="G79" s="261"/>
      <c r="H79" s="260">
        <f>H76-H77-H78</f>
        <v>2804.4000000000005</v>
      </c>
      <c r="I79" s="259">
        <f>H79/H74</f>
        <v>0.26662863662293218</v>
      </c>
      <c r="K79" s="24"/>
    </row>
    <row r="80" spans="1:11" ht="15" customHeight="1" x14ac:dyDescent="0.4">
      <c r="B80" s="28" t="s">
        <v>110</v>
      </c>
      <c r="C80" s="77">
        <f>MAX(Data!C16,0)</f>
        <v>910</v>
      </c>
      <c r="D80" s="160">
        <f>C80/$C$74</f>
        <v>0.1038220193953223</v>
      </c>
      <c r="E80" s="181">
        <f>E74*F80</f>
        <v>175.3</v>
      </c>
      <c r="F80" s="161">
        <f>I80</f>
        <v>0.02</v>
      </c>
      <c r="H80" s="239">
        <f>Inputs!F96</f>
        <v>210.36</v>
      </c>
      <c r="I80" s="161">
        <f>H80/$H$74</f>
        <v>0.02</v>
      </c>
      <c r="K80" s="182" t="s">
        <v>132</v>
      </c>
    </row>
    <row r="81" spans="1:11" ht="15" customHeight="1" x14ac:dyDescent="0.4">
      <c r="B81" s="104" t="s">
        <v>258</v>
      </c>
      <c r="C81" s="77">
        <f>MAX(Data!C17,0)</f>
        <v>94</v>
      </c>
      <c r="D81" s="160">
        <f>C81/$C$74</f>
        <v>1.0724472333143184E-2</v>
      </c>
      <c r="E81" s="181">
        <f>E74*F81</f>
        <v>94</v>
      </c>
      <c r="F81" s="161">
        <f>I81</f>
        <v>1.0724472333143184E-2</v>
      </c>
      <c r="H81" s="239">
        <f>Inputs!F94</f>
        <v>112.80000000000001</v>
      </c>
      <c r="I81" s="161">
        <f>H81/$H$74</f>
        <v>1.0724472333143184E-2</v>
      </c>
      <c r="K81" s="24"/>
    </row>
    <row r="82" spans="1:11" ht="15" customHeight="1" x14ac:dyDescent="0.4">
      <c r="B82" s="28" t="s">
        <v>248</v>
      </c>
      <c r="C82" s="77">
        <f>ABS(MAX(Data!C21,0)-MAX(Data!C19,0))</f>
        <v>91</v>
      </c>
      <c r="D82" s="160">
        <f>C82/$C$74</f>
        <v>1.038220193953223E-2</v>
      </c>
      <c r="E82" s="239">
        <f>Inputs!E95</f>
        <v>91</v>
      </c>
      <c r="F82" s="161">
        <f>E82/E74</f>
        <v>1.038220193953223E-2</v>
      </c>
      <c r="H82" s="239">
        <f>Inputs!F95</f>
        <v>109.2</v>
      </c>
      <c r="I82" s="161">
        <f>H82/$H$74</f>
        <v>1.038220193953223E-2</v>
      </c>
      <c r="K82" s="24"/>
    </row>
    <row r="83" spans="1:11" ht="15" customHeight="1" thickBot="1" x14ac:dyDescent="0.45">
      <c r="B83" s="105" t="s">
        <v>126</v>
      </c>
      <c r="C83" s="164">
        <f>C79-C81-C82-C80</f>
        <v>1242</v>
      </c>
      <c r="D83" s="165">
        <f>C83/$C$74</f>
        <v>0.1416999429549344</v>
      </c>
      <c r="E83" s="166">
        <f>E79-E81-E82-E80</f>
        <v>1976.7</v>
      </c>
      <c r="F83" s="165">
        <f>E83/E74</f>
        <v>0.22552196235025671</v>
      </c>
      <c r="H83" s="166">
        <f>H79-H81-H82-H80</f>
        <v>2372.0400000000004</v>
      </c>
      <c r="I83" s="165">
        <f>H83/$H$74</f>
        <v>0.22552196235025673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0.20500000000000002</v>
      </c>
      <c r="E84" s="213"/>
      <c r="F84" s="180">
        <f t="shared" ref="F84" si="3">I84</f>
        <v>0.20500000000000002</v>
      </c>
      <c r="H84" s="213"/>
      <c r="I84" s="203">
        <f>Inputs!C16</f>
        <v>0.20500000000000002</v>
      </c>
      <c r="K84" s="24"/>
    </row>
    <row r="85" spans="1:11" ht="15" customHeight="1" x14ac:dyDescent="0.4">
      <c r="B85" s="264" t="s">
        <v>165</v>
      </c>
      <c r="C85" s="258">
        <f>C83*(1-I84)</f>
        <v>987.38999999999987</v>
      </c>
      <c r="D85" s="259">
        <f>C85/$C$74</f>
        <v>0.11265145464917284</v>
      </c>
      <c r="E85" s="265">
        <f>E83*(1-F84)</f>
        <v>1571.4765</v>
      </c>
      <c r="F85" s="259">
        <f>E85/E74</f>
        <v>0.17928996006845407</v>
      </c>
      <c r="G85" s="261"/>
      <c r="H85" s="265">
        <f>H83*(1-I84)</f>
        <v>1885.7718000000002</v>
      </c>
      <c r="I85" s="259">
        <f>H85/$H$74</f>
        <v>0.1792899600684541</v>
      </c>
      <c r="K85" s="24"/>
    </row>
    <row r="86" spans="1:11" ht="15" customHeight="1" x14ac:dyDescent="0.4">
      <c r="B86" s="87" t="s">
        <v>161</v>
      </c>
      <c r="C86" s="168">
        <f>C85*Data!C4/Common_Shares</f>
        <v>0.12082776640540205</v>
      </c>
      <c r="D86" s="210"/>
      <c r="E86" s="169">
        <f>E85*Data!C4/Common_Shares</f>
        <v>0.19230293546985366</v>
      </c>
      <c r="F86" s="210"/>
      <c r="H86" s="169">
        <f>H85*Data!C4/Common_Shares</f>
        <v>0.23076352256382443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8.1750858314198569E-3</v>
      </c>
      <c r="D87" s="210"/>
      <c r="E87" s="263">
        <f>E86*Exchange_Rate/Dashboard!G3</f>
        <v>1.3011024285803247E-2</v>
      </c>
      <c r="F87" s="210"/>
      <c r="H87" s="263">
        <f>H86*Exchange_Rate/Dashboard!G3</f>
        <v>1.5613229142963897E-2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0.57999999999999996</v>
      </c>
      <c r="D88" s="167">
        <f>C88/C86</f>
        <v>4.8002211516016979</v>
      </c>
      <c r="E88" s="171">
        <f>Inputs!E98</f>
        <v>0.57999999999999996</v>
      </c>
      <c r="F88" s="167">
        <f>E88/E86</f>
        <v>3.0160746042845692</v>
      </c>
      <c r="H88" s="171">
        <f>Inputs!F98</f>
        <v>0.57999999999999996</v>
      </c>
      <c r="I88" s="167">
        <f>H88/H86</f>
        <v>2.5133955035704743</v>
      </c>
      <c r="K88" s="24"/>
    </row>
    <row r="89" spans="1:11" ht="15" customHeight="1" x14ac:dyDescent="0.4">
      <c r="B89" s="87" t="s">
        <v>223</v>
      </c>
      <c r="C89" s="262">
        <f>C88*Exchange_Rate/Dashboard!G3</f>
        <v>3.9242219924140946E-2</v>
      </c>
      <c r="D89" s="210"/>
      <c r="E89" s="262">
        <f>E88*Exchange_Rate/Dashboard!G3</f>
        <v>3.9242219924140946E-2</v>
      </c>
      <c r="F89" s="210"/>
      <c r="H89" s="262">
        <f>H88*Exchange_Rate/Dashboard!G3</f>
        <v>3.9242219924140946E-2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3" t="s">
        <v>208</v>
      </c>
      <c r="F92" s="283"/>
      <c r="G92" s="87"/>
      <c r="H92" s="283" t="s">
        <v>207</v>
      </c>
      <c r="I92" s="283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211</v>
      </c>
      <c r="F93" s="144">
        <f>FV(E87,D93,0,-(E86/C93))*Exchange_Rate</f>
        <v>3.108227772168707</v>
      </c>
      <c r="H93" s="87" t="s">
        <v>211</v>
      </c>
      <c r="I93" s="144">
        <f>FV(H87,D93,0,-(H86/C93))*Exchange_Rate</f>
        <v>3.7780262448357917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10.652902880167289</v>
      </c>
      <c r="H94" s="87" t="s">
        <v>212</v>
      </c>
      <c r="I94" s="144">
        <f>FV(H89,D93,0,-(H88/C93))*Exchange_Rate</f>
        <v>10.652902880167289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239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15349.624154140967</v>
      </c>
      <c r="D97" s="214"/>
      <c r="E97" s="123">
        <f>PV(C94,D93,0,-F93)</f>
        <v>1.5453385363303145</v>
      </c>
      <c r="F97" s="214"/>
      <c r="H97" s="123">
        <f>PV(C94,D93,0,-I93)</f>
        <v>1.8783467542787167</v>
      </c>
      <c r="I97" s="123">
        <f>PV(C93,D93,0,-I93)</f>
        <v>2.7445992925446174</v>
      </c>
      <c r="K97" s="24"/>
    </row>
    <row r="98" spans="2:11" ht="15" customHeight="1" x14ac:dyDescent="0.4">
      <c r="B98" s="28" t="s">
        <v>145</v>
      </c>
      <c r="C98" s="91">
        <f>E53*Exchange_Rate</f>
        <v>526</v>
      </c>
      <c r="D98" s="214"/>
      <c r="E98" s="214"/>
      <c r="F98" s="214"/>
      <c r="H98" s="123">
        <f>C98*Data!$C$4/Common_Shares</f>
        <v>6.4367073931517929E-2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78249.899999999994</v>
      </c>
      <c r="D99" s="215"/>
      <c r="E99" s="146">
        <f>IF(H99&gt;0,H99*(1-C94),H99*(1+C94))</f>
        <v>8.1391816229444913</v>
      </c>
      <c r="F99" s="215"/>
      <c r="H99" s="146">
        <f>C99*Data!$C$4/Common_Shares</f>
        <v>9.5755077916994011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93073.524154140963</v>
      </c>
      <c r="D100" s="109">
        <f>MIN(F100*(1-C94),E100)</f>
        <v>8.9290972368907013</v>
      </c>
      <c r="E100" s="109">
        <f>MAX(E97-H98+E99,0)</f>
        <v>9.6201530853432882</v>
      </c>
      <c r="F100" s="109">
        <f>(E100+H100)/2</f>
        <v>10.504820278694943</v>
      </c>
      <c r="H100" s="109">
        <f>MAX(C100*Data!$C$4/Common_Shares,0)</f>
        <v>11.389487472046598</v>
      </c>
      <c r="I100" s="109">
        <f>MAX(I97-H98+H99,0)</f>
        <v>12.2557400103125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239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43281.344481036249</v>
      </c>
      <c r="D103" s="109">
        <f>MIN(F103*(1-C94),E103)</f>
        <v>4.5019191540996237</v>
      </c>
      <c r="E103" s="123">
        <f>PV(C94,D93,0,-F94)</f>
        <v>5.2963754754113221</v>
      </c>
      <c r="F103" s="109">
        <f>(E103+H103)/2</f>
        <v>5.2963754754113221</v>
      </c>
      <c r="H103" s="123">
        <f>PV(C94,D93,0,-I94)</f>
        <v>5.2963754754113221</v>
      </c>
      <c r="I103" s="109">
        <f>PV(C93,D93,0,-I94)</f>
        <v>7.7389482797847693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239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60948.040230200779</v>
      </c>
      <c r="D106" s="109">
        <f>(D100+D103)/2</f>
        <v>6.715508195495163</v>
      </c>
      <c r="E106" s="123">
        <f>(E100+E103)/2</f>
        <v>7.4582642803773052</v>
      </c>
      <c r="F106" s="109">
        <f>(F100+F103)/2</f>
        <v>7.9005978770531327</v>
      </c>
      <c r="H106" s="123">
        <f>(H100+H103)/2</f>
        <v>8.3429314737289602</v>
      </c>
      <c r="I106" s="123">
        <f>(I100+I103)/2</f>
        <v>9.9973441450486344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2024-11-29T10:03:24Z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