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C60EE5-AA28-44AD-AD61-C4F55836D8A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5" i="4"/>
  <c r="E92" i="4"/>
  <c r="F97" i="4"/>
  <c r="F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<sst xmlns="http://schemas.openxmlformats.org/spreadsheetml/2006/main" count="390" uniqueCount="267">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</sst>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245</v>
      </c>
    </row>
    <row r="10" spans="1:5" ht="13.9" x14ac:dyDescent="0.4">
      <c r="B10" s="140" t="s">
        <v>219</v>
      </c>
      <c r="C10" s="194">
        <v>677426000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263</v>
      </c>
      <c r="D17" s="24"/>
    </row>
    <row r="18" spans="2:13" ht="13.9" x14ac:dyDescent="0.4">
      <c r="B18" s="241" t="s">
        <v>240</v>
      </c>
      <c r="C18" s="243" t="s">
        <v>248</v>
      </c>
      <c r="D18" s="24"/>
    </row>
    <row r="19" spans="2:13" ht="13.9" x14ac:dyDescent="0.4">
      <c r="B19" s="241" t="s">
        <v>241</v>
      </c>
      <c r="C19" s="243" t="s">
        <v>264</v>
      </c>
      <c r="D19" s="24"/>
    </row>
    <row r="20" spans="2:13" ht="13.9" x14ac:dyDescent="0.4">
      <c r="B20" s="242" t="s">
        <v>230</v>
      </c>
      <c r="C20" s="243" t="s">
        <v>264</v>
      </c>
      <c r="D20" s="24"/>
    </row>
    <row r="21" spans="2:13" ht="13.9" x14ac:dyDescent="0.4">
      <c r="B21" s="225" t="s">
        <v>233</v>
      </c>
      <c r="C21" s="243" t="s">
        <v>263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3.7212449928064696E-2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266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250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259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0116.HK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周生生</v>
      </c>
      <c r="D4" s="278"/>
      <c r="E4" s="87"/>
      <c r="F4" s="3" t="s">
        <v>3</v>
      </c>
      <c r="G4" s="281">
        <f>Inputs!C10</f>
        <v>677426000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10012.356099107743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176</v>
      </c>
      <c r="G24" s="179">
        <f>(Fin_Analysis!H86*G7)/G3</f>
        <v>7.4801794161790003E-2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195</v>
      </c>
      <c r="G26" s="179">
        <f>Fin_Analysis!H88*Exchange_Rate/G3</f>
        <v>3.7212449928064696E-2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3.7449756989112757</v>
      </c>
      <c r="D29" s="129">
        <f>G29*(1+G20)</f>
        <v>8.3573612717007375</v>
      </c>
      <c r="E29" s="87"/>
      <c r="F29" s="131">
        <f>IF(Fin_Analysis!C108="Profit",Fin_Analysis!F100,IF(Fin_Analysis!C108="Dividend",Fin_Analysis!F103,Fin_Analysis!F106))</f>
        <v>4.4058537634250303</v>
      </c>
      <c r="G29" s="272">
        <f>IF(Fin_Analysis!C108="Profit",Fin_Analysis!I100,IF(Fin_Analysis!C108="Dividend",Fin_Analysis!I103,Fin_Analysis!I106))</f>
        <v>7.2672706710441197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9.3502242702237504E-2</v>
      </c>
      <c r="D87" s="210"/>
      <c r="E87" s="263">
        <f>E86*Exchange_Rate/Dashboard!G3</f>
        <v>6.5451569891566252E-2</v>
      </c>
      <c r="F87" s="210"/>
      <c r="H87" s="263">
        <f>H86*Exchange_Rate/Dashboard!G3</f>
        <v>7.4801794161790003E-2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223</v>
      </c>
      <c r="C89" s="262">
        <f>C88*Exchange_Rate/Dashboard!G3</f>
        <v>3.7212449928064696E-2</v>
      </c>
      <c r="D89" s="210"/>
      <c r="E89" s="262">
        <f>E88*Exchange_Rate/Dashboard!G3</f>
        <v>2.9769959942451758E-2</v>
      </c>
      <c r="F89" s="210"/>
      <c r="H89" s="262">
        <f>H88*Exchange_Rate/Dashboard!G3</f>
        <v>3.7212449928064696E-2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20.124223254874526</v>
      </c>
      <c r="H93" s="87" t="s">
        <v>211</v>
      </c>
      <c r="I93" s="144">
        <f>FV(H87,D93,0,-(H86/C93))*Exchange_Rate</f>
        <v>24.026162998244828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7.7198672791180067</v>
      </c>
      <c r="H94" s="87" t="s">
        <v>212</v>
      </c>
      <c r="I94" s="144">
        <f>FV(H89,D93,0,-(H88/C93))*Exchange_Rate</f>
        <v>10.003623989159708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8092022.439574277</v>
      </c>
      <c r="D97" s="214"/>
      <c r="E97" s="123">
        <f>PV(C94,D93,0,-F93)</f>
        <v>10.005295618272442</v>
      </c>
      <c r="F97" s="214"/>
      <c r="H97" s="123">
        <f>PV(C94,D93,0,-I93)</f>
        <v>11.945249281211936</v>
      </c>
      <c r="I97" s="123">
        <f>PV(C93,D93,0,-I93)</f>
        <v>17.454137608938325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8092022.439574277</v>
      </c>
      <c r="D100" s="109">
        <f>MIN(F100*(1-C94),E100)</f>
        <v>9.3289815822808606</v>
      </c>
      <c r="E100" s="109">
        <f>MAX(E97-H98+E99,0)</f>
        <v>10.005295618272442</v>
      </c>
      <c r="F100" s="109">
        <f>(E100+H100)/2</f>
        <v>10.975272449742189</v>
      </c>
      <c r="H100" s="109">
        <f>MAX(C100*Data!$C$4/Common_Shares,0)</f>
        <v>11.945249281211936</v>
      </c>
      <c r="I100" s="109">
        <f>MAX(I97-H98+H99,0)</f>
        <v>17.454137608938325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3369225.0320310183</v>
      </c>
      <c r="D103" s="109">
        <f>MIN(F103*(1-C94),E103)</f>
        <v>3.7449756989112757</v>
      </c>
      <c r="E103" s="123">
        <f>PV(C94,D93,0,-F94)</f>
        <v>3.8381384107679826</v>
      </c>
      <c r="F103" s="109">
        <f>(E103+H103)/2</f>
        <v>4.4058537634250303</v>
      </c>
      <c r="H103" s="123">
        <f>PV(C94,D93,0,-I94)</f>
        <v>4.9735691160820785</v>
      </c>
      <c r="I103" s="109">
        <f>PV(C93,D93,0,-I94)</f>
        <v>7.2672706710441197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4688951.0702783689</v>
      </c>
      <c r="D106" s="109">
        <f>(D100+D103)/2</f>
        <v>6.5369786405960681</v>
      </c>
      <c r="E106" s="123">
        <f>(E100+E103)/2</f>
        <v>6.9217170145202118</v>
      </c>
      <c r="F106" s="109">
        <f>(F100+F103)/2</f>
        <v>7.6905631065836095</v>
      </c>
      <c r="H106" s="123">
        <f>(H100+H103)/2</f>
        <v>8.4594091986470072</v>
      </c>
      <c r="I106" s="123">
        <f>(I100+I103)/2</f>
        <v>12.360704139991222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