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1F0441-6113-4563-9CC0-E3FC6D27DCC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<sst xmlns="http://schemas.openxmlformats.org/spreadsheetml/2006/main" count="390" uniqueCount="267">
  <si>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</si>
  <si>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</si>
  <si>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</si>
  <si>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</si>
  <si>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</si>
  <si>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</si>
  <si>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</si>
  <si>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</si>
  <si>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</si>
  <si>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</si>
  <si>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</si>
  <si>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</si>
  <si>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</si>
  <si>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</si>
  <si>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</si>
  <si>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</si>
  <si>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</si>
  <si>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</si>
  <si>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</si>
  <si>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</si>
  <si>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</si>
  <si>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</si>
  <si>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</si>
  <si>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</si>
  <si>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</si>
  <si>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</si>
  <si>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</si>
  <si>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</si>
  <si>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</si>
  <si>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</si>
  <si>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</si>
  <si>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</si>
  <si>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</si>
  <si>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</si>
  <si>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</si>
  <si>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</si>
  <si>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</si>
  <si>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</si>
  <si>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</si>
  <si>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</si>
  <si>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</si>
  <si>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</si>
  <si>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</si>
  <si>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</si>
  <si>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</si>
  <si>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</si>
  <si>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</si>
  <si>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</si>
  <si>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</si>
  <si>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</si>
  <si>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</si>
  <si>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</si>
  <si>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</si>
  <si>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</si>
  <si>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</si>
  <si>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</si>
  <si>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</si>
  <si>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</si>
  <si>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</si>
  <si>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</si>
  <si>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</si>
  <si>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</si>
  <si>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</si>
  <si>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</si>
  <si>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</si>
  <si>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</si>
  <si>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</si>
  <si>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</si>
  <si>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</si>
  <si>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</si>
  <si>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</si>
  <si>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</si>
  <si>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</si>
  <si>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</si>
  <si>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</si>
  <si>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</si>
  <si>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</si>
  <si>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</si>
  <si>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</si>
  <si>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</si>
  <si>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</si>
  <si>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</si>
  <si>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</si>
  <si>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</si>
  <si>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</si>
  <si>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</si>
  <si>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</si>
  <si>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</si>
  <si>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</si>
  <si>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</si>
  <si>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</si>
  <si>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</si>
  <si>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</si>
  <si>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</si>
  <si>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</si>
  <si>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</si>
  <si>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</si>
  <si>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</si>
  <si>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</si>
  <si>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</si>
  <si>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</si>
  <si>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</si>
  <si>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</si>
  <si>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</si>
  <si>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</si>
  <si>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</si>
  <si>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</si>
  <si>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</si>
  <si>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</si>
  <si>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</si>
  <si>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</si>
  <si>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</si>
  <si>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</si>
  <si>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</si>
  <si>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</si>
  <si>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</si>
  <si>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</si>
  <si>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</si>
  <si>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</si>
  <si>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</si>
  <si>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</si>
  <si>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</si>
  <si>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</si>
  <si>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</si>
  <si>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</si>
  <si>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</si>
  <si>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</si>
  <si>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</si>
  <si>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</si>
  <si>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</si>
  <si>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</si>
  <si>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</si>
  <si>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</si>
  <si>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</si>
  <si>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</si>
  <si>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</si>
  <si>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</si>
  <si>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</si>
  <si>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</si>
  <si>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</si>
  <si>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</si>
  <si>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</si>
  <si>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</si>
  <si>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</si>
  <si>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</si>
  <si>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</si>
  <si>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</si>
  <si>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</si>
  <si>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</si>
  <si>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</si>
  <si>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</si>
  <si>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</si>
  <si>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</si>
  <si>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</si>
  <si>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</si>
  <si>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</si>
  <si>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</si>
  <si>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</si>
  <si>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</si>
  <si>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</si>
  <si>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</si>
  <si>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</si>
  <si>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</si>
  <si>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</si>
  <si>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</si>
  <si>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</si>
  <si>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</si>
  <si>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</si>
  <si>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</si>
  <si>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</si>
  <si>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</si>
  <si>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</si>
  <si>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</si>
  <si>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</si>
  <si>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</si>
  <si>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</si>
  <si>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</si>
  <si>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</si>
  <si>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</si>
  <si>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</si>
  <si>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</si>
  <si>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</si>
  <si>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</si>
  <si>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</si>
  <si>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</si>
  <si>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</si>
  <si>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</si>
  <si>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</si>
  <si>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</si>
  <si>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</si>
  <si>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</si>
  <si>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</si>
  <si>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</si>
  <si>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</si>
  <si>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</si>
  <si>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</si>
  <si>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</si>
  <si>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</si>
  <si>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</si>
  <si>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</si>
  <si>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</si>
  <si>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</si>
  <si>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</si>
  <si>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</si>
  <si>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</si>
  <si>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</si>
  <si>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</si>
  <si>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</si>
  <si>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</si>
  <si>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</si>
  <si>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</si>
  <si>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</si>
  <si>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</si>
  <si>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</si>
  <si>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</si>
  <si>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</si>
  <si>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</si>
  <si>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</si>
  <si>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</si>
  <si>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</si>
  <si>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</si>
  <si>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</si>
  <si>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</si>
  <si>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</si>
  <si>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</si>
  <si>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</si>
  <si>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</si>
  <si>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</si>
  <si>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</si>
  <si>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</si>
  <si>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</si>
  <si>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</si>
  <si>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</si>
  <si>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</si>
  <si>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</si>
  <si>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</si>
  <si>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</si>
  <si>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</si>
  <si>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</si>
  <si>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</si>
  <si>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</si>
  <si>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</si>
  <si>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</si>
  <si>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</si>
  <si>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</si>
  <si>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</si>
  <si>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</si>
  <si>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</si>
  <si>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</si>
  <si>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</si>
  <si>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</si>
  <si>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</si>
  <si>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</si>
  <si>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</si>
  <si>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</si>
  <si>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</si>
  <si>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</si>
  <si>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</si>
  <si>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</si>
  <si>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</si>
  <si>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</si>
  <si>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</si>
  <si>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</si>
  <si>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0300.HK</t>
  </si>
  <si>
    <t>美的集團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</si>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</sst>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263</v>
      </c>
    </row>
    <row r="5" spans="1:5" ht="13.9" x14ac:dyDescent="0.4">
      <c r="B5" s="141" t="s">
        <v>197</v>
      </c>
      <c r="C5" s="192" t="s">
        <v>264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245</v>
      </c>
    </row>
    <row r="10" spans="1:5" ht="13.9" x14ac:dyDescent="0.4">
      <c r="B10" s="140" t="s">
        <v>219</v>
      </c>
      <c r="C10" s="194">
        <v>7655673083</v>
      </c>
    </row>
    <row r="11" spans="1:5" ht="13.9" x14ac:dyDescent="0.4">
      <c r="B11" s="140" t="s">
        <v>220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259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248</v>
      </c>
      <c r="D17" s="24"/>
    </row>
    <row r="18" spans="2:13" ht="13.9" x14ac:dyDescent="0.4">
      <c r="B18" s="241" t="s">
        <v>240</v>
      </c>
      <c r="C18" s="243" t="s">
        <v>248</v>
      </c>
      <c r="D18" s="24"/>
    </row>
    <row r="19" spans="2:13" ht="13.9" x14ac:dyDescent="0.4">
      <c r="B19" s="241" t="s">
        <v>241</v>
      </c>
      <c r="C19" s="243" t="s">
        <v>248</v>
      </c>
      <c r="D19" s="24"/>
    </row>
    <row r="20" spans="2:13" ht="13.9" x14ac:dyDescent="0.4">
      <c r="B20" s="242" t="s">
        <v>230</v>
      </c>
      <c r="C20" s="243" t="s">
        <v>248</v>
      </c>
      <c r="D20" s="24"/>
    </row>
    <row r="21" spans="2:13" ht="13.9" x14ac:dyDescent="0.4">
      <c r="B21" s="225" t="s">
        <v>233</v>
      </c>
      <c r="C21" s="243" t="s">
        <v>248</v>
      </c>
      <c r="D21" s="24"/>
    </row>
    <row r="22" spans="2:13" ht="78.75" x14ac:dyDescent="0.4">
      <c r="B22" s="227" t="s">
        <v>232</v>
      </c>
      <c r="C22" s="244" t="s">
        <v>262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106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250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260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0300.HK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美的集團</v>
      </c>
      <c r="D4" s="278"/>
      <c r="E4" s="87"/>
      <c r="F4" s="3" t="s">
        <v>3</v>
      </c>
      <c r="G4" s="281">
        <f>Inputs!C10</f>
        <v>7655673083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45625</v>
      </c>
      <c r="D5" s="280"/>
      <c r="E5" s="34"/>
      <c r="F5" s="35" t="s">
        <v>100</v>
      </c>
      <c r="G5" s="273">
        <f>G3*G4/1000000</f>
        <v>113150.84612245474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0.73672180139004328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9.0683554379893485E-5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9.0252248239117653E-3</v>
      </c>
      <c r="F24" s="140" t="s">
        <v>176</v>
      </c>
      <c r="G24" s="179">
        <f>(Fin_Analysis!H86*G7)/G3</f>
        <v>0.20905611235465346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8.4396594173019507E-2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261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46.856172344678654</v>
      </c>
      <c r="D29" s="129">
        <f>G29*(1+G20)</f>
        <v>90.066025448842126</v>
      </c>
      <c r="E29" s="87"/>
      <c r="F29" s="131">
        <f>IF(Fin_Analysis!C108="Profit",Fin_Analysis!F100,IF(Fin_Analysis!C108="Dividend",Fin_Analysis!F103,Fin_Analysis!F106))</f>
        <v>55.124908640798417</v>
      </c>
      <c r="G29" s="272">
        <f>IF(Fin_Analysis!C108="Profit",Fin_Analysis!I100,IF(Fin_Analysis!C108="Dividend",Fin_Analysis!I103,Fin_Analysis!I106))</f>
        <v>78.318282998993155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96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173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234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161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0.20905611235465346</v>
      </c>
      <c r="D87" s="210"/>
      <c r="E87" s="263">
        <f>E86*Exchange_Rate/Dashboard!G3</f>
        <v>0.20905611235465346</v>
      </c>
      <c r="F87" s="210"/>
      <c r="H87" s="263">
        <f>H86*Exchange_Rate/Dashboard!G3</f>
        <v>0.20905611235465346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110.87588120495072</v>
      </c>
      <c r="H93" s="87" t="s">
        <v>211</v>
      </c>
      <c r="I93" s="144">
        <f>FV(H87,D93,0,-(H86/C93))*Exchange_Rate</f>
        <v>110.87588120495072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422018279.28419459</v>
      </c>
      <c r="D97" s="214"/>
      <c r="E97" s="123">
        <f>PV(C94,D93,0,-F93)</f>
        <v>55.124908640798417</v>
      </c>
      <c r="F97" s="214"/>
      <c r="H97" s="123">
        <f>PV(C94,D93,0,-I93)</f>
        <v>55.124908640798417</v>
      </c>
      <c r="I97" s="123">
        <f>PV(C93,D93,0,-I93)</f>
        <v>78.318282998993155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422018279.28419459</v>
      </c>
      <c r="D100" s="109">
        <f>MIN(F100*(1-C94),E100)</f>
        <v>46.856172344678654</v>
      </c>
      <c r="E100" s="109">
        <f>MAX(E97-H98+E99,0)</f>
        <v>55.124908640798417</v>
      </c>
      <c r="F100" s="109">
        <f>(E100+H100)/2</f>
        <v>55.124908640798417</v>
      </c>
      <c r="H100" s="109">
        <f>MAX(C100*Data!$C$4/Common_Shares,0)</f>
        <v>55.124908640798417</v>
      </c>
      <c r="I100" s="109">
        <f>MAX(I97-H98+H99,0)</f>
        <v>78.318282998993155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211009139.64209729</v>
      </c>
      <c r="D106" s="109">
        <f>(D100+D103)/2</f>
        <v>23.428086172339327</v>
      </c>
      <c r="E106" s="123">
        <f>(E100+E103)/2</f>
        <v>27.562454320399208</v>
      </c>
      <c r="F106" s="109">
        <f>(F100+F103)/2</f>
        <v>27.562454320399208</v>
      </c>
      <c r="H106" s="123">
        <f>(H100+H103)/2</f>
        <v>27.562454320399208</v>
      </c>
      <c r="I106" s="123">
        <f>(I100+I103)/2</f>
        <v>39.159141499496577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