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12C041-536E-4EC7-AF40-D9C6FF7C26A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F45" i="4" s="1"/>
  <c r="E44" i="4"/>
  <c r="D44" i="4"/>
  <c r="C44" i="4"/>
  <c r="C45" i="4" s="1"/>
  <c r="D39" i="4"/>
  <c r="C7" i="1"/>
  <c r="C33" i="1"/>
  <c r="B91" i="3"/>
  <c r="C97" i="4"/>
  <c r="C94" i="4"/>
  <c r="C96" i="4"/>
  <c r="C95" i="4"/>
  <c r="D45" i="4"/>
  <c r="E45" i="4"/>
  <c r="G45" i="4"/>
  <c r="H45" i="4"/>
  <c r="I45" i="4"/>
  <c r="J45" i="4"/>
  <c r="K45" i="4"/>
  <c r="L45" i="4"/>
  <c r="M45" i="4"/>
  <c r="D16" i="1"/>
  <c r="E93" i="4" l="1"/>
  <c r="F94" i="4"/>
  <c r="F93" i="4"/>
  <c r="E95" i="4"/>
  <c r="F96" i="4"/>
  <c r="F95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<sst xmlns="http://schemas.openxmlformats.org/spreadsheetml/2006/main" count="390" uniqueCount="267">
  <si>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</si>
  <si>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</si>
  <si>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</si>
  <si>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</si>
  <si>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</si>
  <si>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</si>
  <si>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</si>
  <si>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</si>
  <si>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</si>
  <si>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</si>
  <si>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</si>
  <si>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</si>
  <si>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</si>
  <si>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</si>
  <si>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</si>
  <si>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</si>
  <si>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</si>
  <si>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</si>
  <si>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</si>
  <si>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</si>
  <si>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</si>
  <si>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</si>
  <si>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</si>
  <si>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</si>
  <si>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</si>
  <si>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</si>
  <si>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</si>
  <si>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</si>
  <si>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</si>
  <si>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</si>
  <si>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</si>
  <si>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</si>
  <si>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</si>
  <si>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</si>
  <si>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</si>
  <si>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</si>
  <si>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</si>
  <si>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</si>
  <si>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</si>
  <si>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</si>
  <si>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</si>
  <si>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</si>
  <si>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</si>
  <si>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</si>
  <si>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</si>
  <si>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</si>
  <si>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</si>
  <si>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</si>
  <si>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</si>
  <si>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</si>
  <si>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</si>
  <si>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</si>
  <si>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</si>
  <si>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</si>
  <si>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</si>
  <si>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</si>
  <si>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</si>
  <si>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</si>
  <si>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</si>
  <si>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</si>
  <si>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</si>
  <si>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</si>
  <si>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</si>
  <si>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</si>
  <si>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</si>
  <si>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</si>
  <si>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</si>
  <si>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</si>
  <si>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</si>
  <si>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</si>
  <si>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</si>
  <si>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</si>
  <si>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</si>
  <si>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</si>
  <si>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</si>
  <si>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</si>
  <si>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</si>
  <si>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</si>
  <si>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</si>
  <si>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</si>
  <si>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</si>
  <si>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</si>
  <si>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</si>
  <si>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</si>
  <si>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</si>
  <si>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</si>
  <si>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</si>
  <si>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</si>
  <si>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</si>
  <si>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</si>
  <si>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</si>
  <si>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</si>
  <si>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</si>
  <si>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</si>
  <si>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</si>
  <si>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</si>
  <si>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</si>
  <si>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</si>
  <si>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</si>
  <si>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</si>
  <si>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</si>
  <si>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</si>
  <si>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</si>
  <si>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</si>
  <si>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</si>
  <si>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</si>
  <si>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</si>
  <si>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</si>
  <si>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</si>
  <si>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</si>
  <si>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</si>
  <si>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</si>
  <si>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</si>
  <si>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</si>
  <si>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</si>
  <si>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</si>
  <si>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</si>
  <si>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</si>
  <si>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</si>
  <si>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</si>
  <si>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</si>
  <si>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</si>
  <si>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</si>
  <si>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</si>
  <si>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</si>
  <si>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</si>
  <si>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</si>
  <si>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</si>
  <si>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</si>
  <si>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</si>
  <si>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</si>
  <si>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</si>
  <si>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</si>
  <si>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</si>
  <si>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</si>
  <si>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</si>
  <si>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</si>
  <si>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</si>
  <si>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</si>
  <si>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</si>
  <si>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</si>
  <si>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</si>
  <si>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</si>
  <si>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</si>
  <si>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</si>
  <si>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</si>
  <si>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</si>
  <si>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</si>
  <si>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</si>
  <si>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</si>
  <si>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</si>
  <si>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</si>
  <si>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</si>
  <si>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</si>
  <si>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</si>
  <si>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</si>
  <si>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</si>
  <si>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</si>
  <si>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</si>
  <si>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</si>
  <si>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</si>
  <si>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</si>
  <si>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</si>
  <si>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</si>
  <si>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</si>
  <si>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</si>
  <si>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</si>
  <si>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</si>
  <si>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</si>
  <si>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</si>
  <si>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</si>
  <si>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</si>
  <si>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</si>
  <si>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</si>
  <si>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</si>
  <si>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</si>
  <si>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</si>
  <si>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</si>
  <si>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</si>
  <si>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</si>
  <si>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</si>
  <si>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</si>
  <si>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</si>
  <si>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</si>
  <si>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</si>
  <si>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</si>
  <si>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</si>
  <si>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</si>
  <si>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</si>
  <si>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</si>
  <si>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</si>
  <si>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</si>
  <si>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</si>
  <si>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</si>
  <si>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</si>
  <si>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</si>
  <si>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</si>
  <si>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</si>
  <si>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</si>
  <si>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</si>
  <si>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</si>
  <si>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</si>
  <si>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</si>
  <si>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</si>
  <si>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</si>
  <si>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</si>
  <si>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</si>
  <si>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</si>
  <si>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</si>
  <si>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</si>
  <si>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</si>
  <si>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</si>
  <si>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</si>
  <si>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</si>
  <si>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</si>
  <si>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</si>
  <si>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</si>
  <si>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</si>
  <si>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</si>
  <si>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</si>
  <si>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</si>
  <si>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</si>
  <si>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</si>
  <si>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</si>
  <si>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</si>
  <si>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</si>
  <si>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</si>
  <si>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</si>
  <si>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</si>
  <si>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</si>
  <si>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</si>
  <si>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</si>
  <si>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</si>
  <si>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</si>
  <si>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</si>
  <si>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</si>
  <si>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</si>
  <si>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</si>
  <si>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</si>
  <si>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</si>
  <si>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</si>
  <si>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</si>
  <si>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</si>
  <si>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</si>
  <si>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</si>
  <si>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</si>
  <si>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</si>
  <si>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</si>
  <si>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</si>
  <si>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</si>
  <si>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</si>
  <si>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</si>
  <si>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</si>
  <si>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</si>
  <si>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</si>
  <si>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</si>
  <si>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</si>
  <si>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</si>
  <si>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</si>
  <si>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</si>
  <si>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</si>
  <si>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</si>
  <si>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</si>
  <si>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六福珠宝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</si>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</sst>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245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246</v>
      </c>
    </row>
    <row r="10" spans="1:5" ht="13.9" x14ac:dyDescent="0.4">
      <c r="B10" s="140" t="s">
        <v>219</v>
      </c>
      <c r="C10" s="194">
        <v>587107850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45382</v>
      </c>
    </row>
    <row r="15" spans="1:5" ht="13.9" x14ac:dyDescent="0.4">
      <c r="B15" s="219" t="s">
        <v>260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249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9.2016239822123591E-2</v>
      </c>
      <c r="D45" s="153">
        <f>IF(D44="","",D44*Exchange_Rate/Dashboard!$G$3)</f>
        <v>7.4424899856129392E-2</v>
      </c>
      <c r="E45" s="153">
        <f>IF(E44="","",E44*Exchange_Rate/Dashboard!$G$3)</f>
        <v>7.4424899856129392E-2</v>
      </c>
      <c r="F45" s="153">
        <f>IF(F44="","",F44*Exchange_Rate/Dashboard!$G$3)</f>
        <v>6.7658999869208536E-2</v>
      </c>
      <c r="G45" s="153">
        <f>IF(G44="","",G44*Exchange_Rate/Dashboard!$G$3)</f>
        <v>6.7658999869208536E-2</v>
      </c>
      <c r="H45" s="153">
        <f>IF(H44="","",H44*Exchange_Rate/Dashboard!$G$3)</f>
        <v>7.7807849849589814E-2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222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255</v>
      </c>
    </row>
    <row r="89" spans="2:8" ht="13.5" x14ac:dyDescent="0.35">
      <c r="B89" s="106" t="s">
        <v>128</v>
      </c>
      <c r="C89" s="269">
        <f>C24</f>
        <v>45382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251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261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250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0590.HK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六福珠宝</v>
      </c>
      <c r="D4" s="278"/>
      <c r="E4" s="87"/>
      <c r="F4" s="3" t="s">
        <v>3</v>
      </c>
      <c r="G4" s="281">
        <f>Inputs!C10</f>
        <v>587107850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8677.4538662252908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190</v>
      </c>
      <c r="G23" s="178">
        <f>G3/(Data!C36*Data!C4/Common_Shares*Exchange_Rate)</f>
        <v>0.6745586653614084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176</v>
      </c>
      <c r="G24" s="179">
        <f>(Fin_Analysis!H86*G7)/G3</f>
        <v>9.6806912701619202E-2</v>
      </c>
    </row>
    <row r="25" spans="1:8" ht="15.75" customHeight="1" x14ac:dyDescent="0.4">
      <c r="B25" s="137" t="s">
        <v>247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195</v>
      </c>
      <c r="G26" s="179">
        <f>Fin_Analysis!H88*Exchange_Rate/G3</f>
        <v>7.4424899856129392E-2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262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12.41964624007173</v>
      </c>
      <c r="D29" s="129">
        <f>G29*(1+G20)</f>
        <v>28.646826025956059</v>
      </c>
      <c r="E29" s="87"/>
      <c r="F29" s="131">
        <f>IF(Fin_Analysis!C108="Profit",Fin_Analysis!F100,IF(Fin_Analysis!C108="Dividend",Fin_Analysis!F103,Fin_Analysis!F106))</f>
        <v>14.720052962619061</v>
      </c>
      <c r="G29" s="272">
        <f>IF(Fin_Analysis!C108="Profit",Fin_Analysis!I100,IF(Fin_Analysis!C108="Dividend",Fin_Analysis!I103,Fin_Analysis!I106))</f>
        <v>24.910283500831358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202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2034922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45382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250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8.3903730428786738E-2</v>
      </c>
      <c r="D87" s="210"/>
      <c r="E87" s="263">
        <f>E86*Exchange_Rate/Dashboard!G3</f>
        <v>7.7445530161295489E-2</v>
      </c>
      <c r="F87" s="210"/>
      <c r="H87" s="263">
        <f>H86*Exchange_Rate/Dashboard!G3</f>
        <v>9.6806912701619202E-2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223</v>
      </c>
      <c r="C89" s="262">
        <f>C88*Exchange_Rate/Dashboard!G3</f>
        <v>9.2016239822123591E-2</v>
      </c>
      <c r="D89" s="210"/>
      <c r="E89" s="262">
        <f>E88*Exchange_Rate/Dashboard!G3</f>
        <v>6.7658999869208536E-2</v>
      </c>
      <c r="F89" s="210"/>
      <c r="H89" s="262">
        <f>H88*Exchange_Rate/Dashboard!G3</f>
        <v>7.4424899856129392E-2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25.182768132974079</v>
      </c>
      <c r="H93" s="87" t="s">
        <v>211</v>
      </c>
      <c r="I93" s="144">
        <f>FV(H87,D93,0,-(H86/C93))*Exchange_Rate</f>
        <v>34.410244271703363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21.019331085295654</v>
      </c>
      <c r="H94" s="87" t="s">
        <v>212</v>
      </c>
      <c r="I94" s="144">
        <f>FV(H89,D93,0,-(H88/C93))*Exchange_Rate</f>
        <v>23.863221504578124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10044225.191769715</v>
      </c>
      <c r="D97" s="214"/>
      <c r="E97" s="123">
        <f>PV(C94,D93,0,-F93)</f>
        <v>12.520286446125864</v>
      </c>
      <c r="F97" s="214"/>
      <c r="H97" s="123">
        <f>PV(C94,D93,0,-I93)</f>
        <v>17.107972907822159</v>
      </c>
      <c r="I97" s="123">
        <f>PV(C93,D93,0,-I93)</f>
        <v>24.997796723487127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9992845.4917697161</v>
      </c>
      <c r="D100" s="109">
        <f>MIN(F100*(1-C94),E100)</f>
        <v>12.41964624007173</v>
      </c>
      <c r="E100" s="109">
        <f>MAX(E97-H98+E99,0)</f>
        <v>12.41964624007173</v>
      </c>
      <c r="F100" s="109">
        <f>(E100+H100)/2</f>
        <v>14.720052962619061</v>
      </c>
      <c r="H100" s="109">
        <f>MAX(C100*Data!$C$4/Common_Shares,0)</f>
        <v>17.02045968516639</v>
      </c>
      <c r="I100" s="109">
        <f>MAX(I97-H98+H99,0)</f>
        <v>24.910283500831358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6965587.5936390003</v>
      </c>
      <c r="D103" s="109">
        <f>MIN(F103*(1-C94),E103)</f>
        <v>9.4836884116070816</v>
      </c>
      <c r="E103" s="123">
        <f>PV(C94,D93,0,-F94)</f>
        <v>10.450322407141154</v>
      </c>
      <c r="F103" s="109">
        <f>(E103+H103)/2</f>
        <v>11.157280484243625</v>
      </c>
      <c r="H103" s="123">
        <f>PV(C94,D93,0,-I94)</f>
        <v>11.864238561346097</v>
      </c>
      <c r="I103" s="109">
        <f>PV(C93,D93,0,-I94)</f>
        <v>17.335766512693269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6713569.061016283</v>
      </c>
      <c r="D106" s="109">
        <f>(D100+D103)/2</f>
        <v>10.951667325839406</v>
      </c>
      <c r="E106" s="123">
        <f>(E100+E103)/2</f>
        <v>11.434984323606443</v>
      </c>
      <c r="F106" s="109">
        <f>(F100+F103)/2</f>
        <v>12.938666723431343</v>
      </c>
      <c r="H106" s="123">
        <f>(H100+H103)/2</f>
        <v>14.442349123256243</v>
      </c>
      <c r="I106" s="123">
        <f>(I100+I103)/2</f>
        <v>21.123025006762312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