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63879C2-154A-421D-9379-FA9D4D4ECA4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<sst xmlns="http://schemas.openxmlformats.org/spreadsheetml/2006/main" count="390" uniqueCount="268">
  <si>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</si>
  <si>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</si>
  <si>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</si>
  <si>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</si>
  <si>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</si>
  <si>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</si>
  <si>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</si>
  <si>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</si>
  <si>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</si>
  <si>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</si>
  <si>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</si>
  <si>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</si>
  <si>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</si>
  <si>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</si>
  <si>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</si>
  <si>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</si>
  <si>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</si>
  <si>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</si>
  <si>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</si>
  <si>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</si>
  <si>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</si>
  <si>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</si>
  <si>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</si>
  <si>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</si>
  <si>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</si>
  <si>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</si>
  <si>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</si>
  <si>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</si>
  <si>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</si>
  <si>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</si>
  <si>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</si>
  <si>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</si>
  <si>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</si>
  <si>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</si>
  <si>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</si>
  <si>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</si>
  <si>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</si>
  <si>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</si>
  <si>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</si>
  <si>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</si>
  <si>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</si>
  <si>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</si>
  <si>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</si>
  <si>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</si>
  <si>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</si>
  <si>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</si>
  <si>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</si>
  <si>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</si>
  <si>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</si>
  <si>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</si>
  <si>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</si>
  <si>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</si>
  <si>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</si>
  <si>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</si>
  <si>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</si>
  <si>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</si>
  <si>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</si>
  <si>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</si>
  <si>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</si>
  <si>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</si>
  <si>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</si>
  <si>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</si>
  <si>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</si>
  <si>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</si>
  <si>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</si>
  <si>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</si>
  <si>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</si>
  <si>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</si>
  <si>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</si>
  <si>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</si>
  <si>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</si>
  <si>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</si>
  <si>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</si>
  <si>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</si>
  <si>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</si>
  <si>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</si>
  <si>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</si>
  <si>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</si>
  <si>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</si>
  <si>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</si>
  <si>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</si>
  <si>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</si>
  <si>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</si>
  <si>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</si>
  <si>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</si>
  <si>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</si>
  <si>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</si>
  <si>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</si>
  <si>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</si>
  <si>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</si>
  <si>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</si>
  <si>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</si>
  <si>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</si>
  <si>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</si>
  <si>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</si>
  <si>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</si>
  <si>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</si>
  <si>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</si>
  <si>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</si>
  <si>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</si>
  <si>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</si>
  <si>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</si>
  <si>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</si>
  <si>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</si>
  <si>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</si>
  <si>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</si>
  <si>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</si>
  <si>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</si>
  <si>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</si>
  <si>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</si>
  <si>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</si>
  <si>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</si>
  <si>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</si>
  <si>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</si>
  <si>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</si>
  <si>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</si>
  <si>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</si>
  <si>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</si>
  <si>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</si>
  <si>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</si>
  <si>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</si>
  <si>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</si>
  <si>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</si>
  <si>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</si>
  <si>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</si>
  <si>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</si>
  <si>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</si>
  <si>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</si>
  <si>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</si>
  <si>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</si>
  <si>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</si>
  <si>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</si>
  <si>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</si>
  <si>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</si>
  <si>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</si>
  <si>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</si>
  <si>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</si>
  <si>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</si>
  <si>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</si>
  <si>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</si>
  <si>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</si>
  <si>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</si>
  <si>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</si>
  <si>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</si>
  <si>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</si>
  <si>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</si>
  <si>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</si>
  <si>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</si>
  <si>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</si>
  <si>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</si>
  <si>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</si>
  <si>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</si>
  <si>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</si>
  <si>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</si>
  <si>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</si>
  <si>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</si>
  <si>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</si>
  <si>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</si>
  <si>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</si>
  <si>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</si>
  <si>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</si>
  <si>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</si>
  <si>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</si>
  <si>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</si>
  <si>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</si>
  <si>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</si>
  <si>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</si>
  <si>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</si>
  <si>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</si>
  <si>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</si>
  <si>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</si>
  <si>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</si>
  <si>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</si>
  <si>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</si>
  <si>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</si>
  <si>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</si>
  <si>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</si>
  <si>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</si>
  <si>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</si>
  <si>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</si>
  <si>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</si>
  <si>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</si>
  <si>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</si>
  <si>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</si>
  <si>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</si>
  <si>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</si>
  <si>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</si>
  <si>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</si>
  <si>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</si>
  <si>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</si>
  <si>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</si>
  <si>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</si>
  <si>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</si>
  <si>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</si>
  <si>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</si>
  <si>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</si>
  <si>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</si>
  <si>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</si>
  <si>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</si>
  <si>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</si>
  <si>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</si>
  <si>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</si>
  <si>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</si>
  <si>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</si>
  <si>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</si>
  <si>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</si>
  <si>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</si>
  <si>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</si>
  <si>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</si>
  <si>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</si>
  <si>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</si>
  <si>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</si>
  <si>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</si>
  <si>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</si>
  <si>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</si>
  <si>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</si>
  <si>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</si>
  <si>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</si>
  <si>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</si>
  <si>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</si>
  <si>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</si>
  <si>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</si>
  <si>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</si>
  <si>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</si>
  <si>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</si>
  <si>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</si>
  <si>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</si>
  <si>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</si>
  <si>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</si>
  <si>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</si>
  <si>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</si>
  <si>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</si>
  <si>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</si>
  <si>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</si>
  <si>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</si>
  <si>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</si>
  <si>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</si>
  <si>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</si>
  <si>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</si>
  <si>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</si>
  <si>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</si>
  <si>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</si>
  <si>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</si>
  <si>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</si>
  <si>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</si>
  <si>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</si>
  <si>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</si>
  <si>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</si>
  <si>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</si>
  <si>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</si>
  <si>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</si>
  <si>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</si>
  <si>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</si>
  <si>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</si>
  <si>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</si>
  <si>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</si>
  <si>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</si>
  <si>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</si>
  <si>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</si>
  <si>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</si>
  <si>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</si>
  <si>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0788.HK</t>
  </si>
  <si>
    <t>中国铁塔</t>
  </si>
  <si>
    <t>C0010</t>
  </si>
  <si>
    <t>CNY</t>
  </si>
  <si>
    <t>CN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</si>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</sst>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176008471024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266</v>
      </c>
      <c r="D17" s="24"/>
    </row>
    <row r="18" spans="2:13" ht="13.9" x14ac:dyDescent="0.4">
      <c r="B18" s="241" t="s">
        <v>240</v>
      </c>
      <c r="C18" s="243" t="s">
        <v>266</v>
      </c>
      <c r="D18" s="24"/>
    </row>
    <row r="19" spans="2:13" ht="13.9" x14ac:dyDescent="0.4">
      <c r="B19" s="241" t="s">
        <v>241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266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3.2672531036840799E-3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106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249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259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0788.HK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中国铁塔</v>
      </c>
      <c r="D4" s="278"/>
      <c r="E4" s="87"/>
      <c r="F4" s="3" t="s">
        <v>3</v>
      </c>
      <c r="G4" s="281">
        <f>Inputs!C10</f>
        <v>176008471024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45603</v>
      </c>
      <c r="D5" s="280"/>
      <c r="E5" s="34"/>
      <c r="F5" s="35" t="s">
        <v>100</v>
      </c>
      <c r="G5" s="273">
        <f>G3*G4/1000000</f>
        <v>2601405.1547353878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C0010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0.69462498271442097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3.0071588890425386E-2</v>
      </c>
      <c r="F24" s="140" t="s">
        <v>176</v>
      </c>
      <c r="G24" s="179">
        <f>(Fin_Analysis!H86*G7)/G3</f>
        <v>3.3659693431685681E-3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0.97067227017832514</v>
      </c>
    </row>
    <row r="26" spans="1:8" ht="15.75" customHeight="1" x14ac:dyDescent="0.4">
      <c r="B26" s="138" t="s">
        <v>174</v>
      </c>
      <c r="C26" s="172">
        <f>Fin_Analysis!I83</f>
        <v>0.12419023710495804</v>
      </c>
      <c r="F26" s="141" t="s">
        <v>195</v>
      </c>
      <c r="G26" s="179">
        <f>Fin_Analysis!H88*Exchange_Rate/G3</f>
        <v>3.2672531036840799E-3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0.29694679748841923</v>
      </c>
      <c r="D29" s="129">
        <f>G29*(1+G20)</f>
        <v>0.57078537322269096</v>
      </c>
      <c r="E29" s="87"/>
      <c r="F29" s="131">
        <f>IF(Fin_Analysis!C108="Profit",Fin_Analysis!F100,IF(Fin_Analysis!C108="Dividend",Fin_Analysis!F103,Fin_Analysis!F106))</f>
        <v>0.34934917351578737</v>
      </c>
      <c r="G29" s="272">
        <f>IF(Fin_Analysis!C108="Profit",Fin_Analysis!I100,IF(Fin_Analysis!C108="Dividend",Fin_Analysis!I103,Fin_Analysis!I106))</f>
        <v>0.4963351071501661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96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161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3.3659693431685681E-3</v>
      </c>
      <c r="D87" s="210"/>
      <c r="E87" s="263">
        <f>E86*Exchange_Rate/Dashboard!G3</f>
        <v>3.3659693431685681E-3</v>
      </c>
      <c r="F87" s="210"/>
      <c r="H87" s="263">
        <f>H86*Exchange_Rate/Dashboard!G3</f>
        <v>3.3659693431685681E-3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223</v>
      </c>
      <c r="C89" s="262">
        <f>C88*Exchange_Rate/Dashboard!G3</f>
        <v>3.2672531036840799E-3</v>
      </c>
      <c r="D89" s="210"/>
      <c r="E89" s="262">
        <f>E88*Exchange_Rate/Dashboard!G3</f>
        <v>3.2672531036840799E-3</v>
      </c>
      <c r="F89" s="210"/>
      <c r="H89" s="262">
        <f>H88*Exchange_Rate/Dashboard!G3</f>
        <v>3.2672531036840799E-3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0.70266597109816331</v>
      </c>
      <c r="H93" s="87" t="s">
        <v>211</v>
      </c>
      <c r="I93" s="144">
        <f>FV(H87,D93,0,-(H86/C93))*Exchange_Rate</f>
        <v>0.70266597109816331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0.68172291752467573</v>
      </c>
      <c r="H94" s="87" t="s">
        <v>212</v>
      </c>
      <c r="I94" s="144">
        <f>FV(H89,D93,0,-(H88/C93))*Exchange_Rate</f>
        <v>0.68172291752467573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61488.41388401181</v>
      </c>
      <c r="D97" s="214"/>
      <c r="E97" s="123">
        <f>PV(C94,D93,0,-F93)</f>
        <v>0.34934917351578737</v>
      </c>
      <c r="F97" s="214"/>
      <c r="H97" s="123">
        <f>PV(C94,D93,0,-I93)</f>
        <v>0.34934917351578737</v>
      </c>
      <c r="I97" s="123">
        <f>PV(C93,D93,0,-I93)</f>
        <v>0.4963351071501661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61488.41388401181</v>
      </c>
      <c r="D100" s="109">
        <f>MIN(F100*(1-C94),E100)</f>
        <v>0.29694679748841923</v>
      </c>
      <c r="E100" s="109">
        <f>MAX(E97-H98+E99,0)</f>
        <v>0.34934917351578737</v>
      </c>
      <c r="F100" s="109">
        <f>(E100+H100)/2</f>
        <v>0.34934917351578737</v>
      </c>
      <c r="H100" s="109">
        <f>MAX(C100*Data!$C$4/Common_Shares,0)</f>
        <v>0.34934917351578737</v>
      </c>
      <c r="I100" s="109">
        <f>MAX(I97-H98+H99,0)</f>
        <v>0.4963351071501661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59655.743455829463</v>
      </c>
      <c r="D103" s="109">
        <f>MIN(F103*(1-C94),E103)</f>
        <v>0.28809625833600205</v>
      </c>
      <c r="E103" s="123">
        <f>PV(C94,D93,0,-F94)</f>
        <v>0.33893677451294363</v>
      </c>
      <c r="F103" s="109">
        <f>(E103+H103)/2</f>
        <v>0.33893677451294363</v>
      </c>
      <c r="H103" s="123">
        <f>PV(C94,D93,0,-I94)</f>
        <v>0.33893677451294363</v>
      </c>
      <c r="I103" s="109">
        <f>PV(C93,D93,0,-I94)</f>
        <v>0.48154177266834519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60572.078669920629</v>
      </c>
      <c r="D106" s="109">
        <f>(D100+D103)/2</f>
        <v>0.29252152791221064</v>
      </c>
      <c r="E106" s="123">
        <f>(E100+E103)/2</f>
        <v>0.3441429740143655</v>
      </c>
      <c r="F106" s="109">
        <f>(F100+F103)/2</f>
        <v>0.3441429740143655</v>
      </c>
      <c r="H106" s="123">
        <f>(H100+H103)/2</f>
        <v>0.3441429740143655</v>
      </c>
      <c r="I106" s="123">
        <f>(I100+I103)/2</f>
        <v>0.48893843990925567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