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128EB1-DB13-4EE7-B582-F2E0B7B511E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D45" i="4" s="1"/>
  <c r="C44" i="4"/>
  <c r="D32" i="4"/>
  <c r="C32" i="4"/>
  <c r="D31" i="4"/>
  <c r="C31" i="4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<sst xmlns="http://schemas.openxmlformats.org/spreadsheetml/2006/main" count="391" uniqueCount="267">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</sst>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260</v>
      </c>
    </row>
    <row r="5" spans="1:5" ht="13.9" x14ac:dyDescent="0.4">
      <c r="B5" s="141" t="s">
        <v>197</v>
      </c>
      <c r="C5" s="192" t="s">
        <v>261</v>
      </c>
    </row>
    <row r="6" spans="1:5" ht="13.9" x14ac:dyDescent="0.4">
      <c r="B6" s="141" t="s">
        <v>164</v>
      </c>
      <c r="C6" s="190">
        <v>45624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262</v>
      </c>
    </row>
    <row r="10" spans="1:5" ht="13.9" x14ac:dyDescent="0.4">
      <c r="B10" s="140" t="s">
        <v>219</v>
      </c>
      <c r="C10" s="194">
        <v>777416974</v>
      </c>
    </row>
    <row r="11" spans="1:5" ht="13.9" x14ac:dyDescent="0.4">
      <c r="B11" s="140" t="s">
        <v>220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257</v>
      </c>
      <c r="C15" s="177" t="s">
        <v>191</v>
      </c>
    </row>
    <row r="16" spans="1:5" ht="13.9" x14ac:dyDescent="0.4">
      <c r="B16" s="223" t="s">
        <v>97</v>
      </c>
      <c r="C16" s="224">
        <v>0.16500000000000001</v>
      </c>
      <c r="D16" s="24" t="s">
        <v>263</v>
      </c>
    </row>
    <row r="17" spans="2:13" ht="13.9" x14ac:dyDescent="0.4">
      <c r="B17" s="241" t="s">
        <v>226</v>
      </c>
      <c r="C17" s="243" t="s">
        <v>264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247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264</v>
      </c>
      <c r="D21" s="24"/>
    </row>
    <row r="22" spans="2:13" ht="78.75" x14ac:dyDescent="0.4">
      <c r="B22" s="227" t="s">
        <v>232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1487090</v>
      </c>
      <c r="D25" s="150">
        <v>1462864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692542</v>
      </c>
      <c r="D26" s="151">
        <v>723325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533247+84045+112812</f>
        <v>730104</v>
      </c>
      <c r="D27" s="151">
        <f>468717+87819+109122</f>
        <v>665658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f>287520-228742</f>
        <v>58778</v>
      </c>
      <c r="D31" s="151">
        <f>283189-244840</f>
        <v>38349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f>45846+161146+2947</f>
        <v>209939</v>
      </c>
      <c r="D32" s="151">
        <f>42318+145169+2947</f>
        <v>190434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38027</v>
      </c>
      <c r="D33" s="151">
        <v>60606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0.02+0.04</f>
        <v>0.06</v>
      </c>
      <c r="D44" s="251">
        <f>0.05+0.02</f>
        <v>7.0000000000000007E-2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4.0595399921525121E-3</v>
      </c>
      <c r="D45" s="153">
        <f>IF(D44="","",D44*Exchange_Rate/Dashboard!$G$3)</f>
        <v>4.7361299908445977E-3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1487090</v>
      </c>
      <c r="D91" s="210"/>
      <c r="E91" s="252">
        <f>C91</f>
        <v>1487090</v>
      </c>
      <c r="F91" s="252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60">
        <f>C92/C91</f>
        <v>0.46570281556597115</v>
      </c>
      <c r="E92" s="253">
        <f>E91*D92</f>
        <v>692542</v>
      </c>
      <c r="F92" s="253">
        <f>F91*D92</f>
        <v>692542</v>
      </c>
    </row>
    <row r="93" spans="2:8" ht="13.9" x14ac:dyDescent="0.4">
      <c r="B93" s="104" t="s">
        <v>249</v>
      </c>
      <c r="C93" s="77">
        <f>C27+C28</f>
        <v>730104</v>
      </c>
      <c r="D93" s="160">
        <f>C93/C91</f>
        <v>0.49096154234108225</v>
      </c>
      <c r="E93" s="253">
        <f>E91*D93</f>
        <v>730104</v>
      </c>
      <c r="F93" s="253">
        <f>F91*D93</f>
        <v>730104</v>
      </c>
    </row>
    <row r="94" spans="2:8" ht="13.9" x14ac:dyDescent="0.4">
      <c r="B94" s="104" t="s">
        <v>258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248</v>
      </c>
      <c r="C95" s="77">
        <f>ABS(MAX(C33,0)-C32)</f>
        <v>171912</v>
      </c>
      <c r="D95" s="160">
        <f>C95/C91</f>
        <v>0.11560295610891069</v>
      </c>
      <c r="E95" s="253">
        <f>E91*D95</f>
        <v>171912</v>
      </c>
      <c r="F95" s="253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60">
        <f>C96/C91</f>
        <v>3.9525516276755275E-2</v>
      </c>
      <c r="E96" s="254"/>
      <c r="F96" s="253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0.06</v>
      </c>
      <c r="D98" s="267"/>
      <c r="E98" s="255">
        <f>F98</f>
        <v>0.06</v>
      </c>
      <c r="F98" s="255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0831.HK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利亞零售</v>
      </c>
      <c r="D4" s="278"/>
      <c r="E4" s="87"/>
      <c r="F4" s="3" t="s">
        <v>3</v>
      </c>
      <c r="G4" s="281">
        <f>Inputs!C10</f>
        <v>777416974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45624</v>
      </c>
      <c r="D5" s="280"/>
      <c r="E5" s="34"/>
      <c r="F5" s="35" t="s">
        <v>100</v>
      </c>
      <c r="G5" s="273">
        <f>G3*G4/1000000</f>
        <v>11490.222668127271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HKD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0.46570281556597115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0.49096154234108225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3.9525516276755275E-2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176</v>
      </c>
      <c r="G24" s="179">
        <f>(Fin_Analysis!H86*G7)/G3</f>
        <v>-1.2081176667277307E-2</v>
      </c>
    </row>
    <row r="25" spans="1:8" ht="15.75" customHeight="1" x14ac:dyDescent="0.4">
      <c r="B25" s="137" t="s">
        <v>245</v>
      </c>
      <c r="C25" s="172">
        <f>Fin_Analysis!I82</f>
        <v>0.11560295610891069</v>
      </c>
      <c r="F25" s="140" t="s">
        <v>175</v>
      </c>
      <c r="G25" s="172">
        <f>Fin_Analysis!I88</f>
        <v>-0.33602190448452368</v>
      </c>
    </row>
    <row r="26" spans="1:8" ht="15.75" customHeight="1" x14ac:dyDescent="0.4">
      <c r="B26" s="138" t="s">
        <v>174</v>
      </c>
      <c r="C26" s="172">
        <f>Fin_Analysis!I83</f>
        <v>-0.11179283029271934</v>
      </c>
      <c r="F26" s="141" t="s">
        <v>195</v>
      </c>
      <c r="G26" s="179">
        <f>Fin_Analysis!H88*Exchange_Rate/G3</f>
        <v>4.0595399921525121E-3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259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0.19602180218958276</v>
      </c>
      <c r="D29" s="129">
        <f>G29*(1+G20)</f>
        <v>0.3875131732641246</v>
      </c>
      <c r="E29" s="87"/>
      <c r="F29" s="131">
        <f>IF(Fin_Analysis!C108="Profit",Fin_Analysis!F100,IF(Fin_Analysis!C108="Dividend",Fin_Analysis!F103,Fin_Analysis!F106))</f>
        <v>0.2306138849289209</v>
      </c>
      <c r="G29" s="272">
        <f>IF(Fin_Analysis!C108="Profit",Fin_Analysis!I100,IF(Fin_Analysis!C108="Dividend",Fin_Analysis!I103,Fin_Analysis!I106))</f>
        <v>0.33696797675141271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disagree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unclear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1487090</v>
      </c>
      <c r="D6" s="201">
        <f>IF(Inputs!D25="","",Inputs!D25)</f>
        <v>1462864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692542</v>
      </c>
      <c r="D8" s="200">
        <f>IF(Inputs!D26="","",Inputs!D26)</f>
        <v>723325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794548</v>
      </c>
      <c r="D9" s="152">
        <f t="shared" si="2"/>
        <v>739539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730104</v>
      </c>
      <c r="D10" s="200">
        <f>IF(Inputs!D27="","",Inputs!D27)</f>
        <v>665658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4.333564209294663E-2</v>
      </c>
      <c r="D13" s="230">
        <f t="shared" si="3"/>
        <v>5.0504353104594821E-2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64444</v>
      </c>
      <c r="D14" s="231">
        <f t="shared" ref="D14:M14" si="4">IF(D6="","",D9-D10-MAX(D11,0)-MAX(D12,0))</f>
        <v>73881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-0.12773243459076081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58778</v>
      </c>
      <c r="D16" s="200">
        <f>IF(Inputs!D31="","",Inputs!D31)</f>
        <v>38349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0.14117437411320094</v>
      </c>
      <c r="D18" s="153">
        <f t="shared" si="6"/>
        <v>0.13017888197399075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209939</v>
      </c>
      <c r="D19" s="200">
        <f>IF(Inputs!D32="","",Inputs!D32)</f>
        <v>190434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2.5571418004290258E-2</v>
      </c>
      <c r="D20" s="153">
        <f t="shared" si="7"/>
        <v>4.1429688610834639E-2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38027</v>
      </c>
      <c r="D21" s="200">
        <f>IF(Inputs!D33="","",Inputs!D33)</f>
        <v>60606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-166246</v>
      </c>
      <c r="D22" s="162">
        <f t="shared" ref="D22:M22" si="8">IF(D6="","",D14-MAX(D16,0)-MAX(D17,0)-ABS(MAX(D21,0)-MAX(D19,0)))</f>
        <v>-94296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-9.3347013294420647E-2</v>
      </c>
      <c r="D23" s="154">
        <f t="shared" si="9"/>
        <v>-5.3823978168852336E-2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-0.76302282175277847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0.46570281556597115</v>
      </c>
      <c r="D42" s="157">
        <f t="shared" si="34"/>
        <v>0.49445813144625883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0.49096154234108225</v>
      </c>
      <c r="D43" s="154">
        <f t="shared" si="35"/>
        <v>0.45503751544914633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3.9525516276755275E-2</v>
      </c>
      <c r="D44" s="154">
        <f t="shared" si="36"/>
        <v>2.6215013835872644E-2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0.11560295610891069</v>
      </c>
      <c r="D47" s="154">
        <f t="shared" ref="D47:M47" si="39">IF(D6="","",ABS(MAX(D21,0)-MAX(D19,0))/D6)</f>
        <v>8.8749193363156106E-2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-0.11179283029271934</v>
      </c>
      <c r="D48" s="154">
        <f t="shared" si="40"/>
        <v>-6.445985409443393E-2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10"/>
      <c r="E74" s="239">
        <f>Inputs!E91</f>
        <v>1487090</v>
      </c>
      <c r="F74" s="210"/>
      <c r="H74" s="239">
        <f>Inputs!F91</f>
        <v>1487090</v>
      </c>
      <c r="I74" s="210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60">
        <f>C75/$C$74</f>
        <v>0.46570281556597115</v>
      </c>
      <c r="E75" s="239">
        <f>Inputs!E92</f>
        <v>692542</v>
      </c>
      <c r="F75" s="161">
        <f>E75/E74</f>
        <v>0.46570281556597115</v>
      </c>
      <c r="H75" s="239">
        <f>Inputs!F92</f>
        <v>692542</v>
      </c>
      <c r="I75" s="161">
        <f>H75/$H$74</f>
        <v>0.46570281556597115</v>
      </c>
      <c r="K75" s="24"/>
    </row>
    <row r="76" spans="1:11" ht="15" customHeight="1" x14ac:dyDescent="0.4">
      <c r="B76" s="35" t="s">
        <v>96</v>
      </c>
      <c r="C76" s="162">
        <f>C74-C75</f>
        <v>794548</v>
      </c>
      <c r="D76" s="211"/>
      <c r="E76" s="163">
        <f>E74-E75</f>
        <v>794548</v>
      </c>
      <c r="F76" s="211"/>
      <c r="H76" s="163">
        <f>H74-H75</f>
        <v>794548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730104</v>
      </c>
      <c r="D77" s="160">
        <f>C77/$C$74</f>
        <v>0.49096154234108225</v>
      </c>
      <c r="E77" s="239">
        <f>Inputs!E93</f>
        <v>730104</v>
      </c>
      <c r="F77" s="161">
        <f>E77/E74</f>
        <v>0.49096154234108225</v>
      </c>
      <c r="H77" s="239">
        <f>Inputs!F93</f>
        <v>730104</v>
      </c>
      <c r="I77" s="161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64444</v>
      </c>
      <c r="D79" s="259">
        <f>C79/C74</f>
        <v>4.333564209294663E-2</v>
      </c>
      <c r="E79" s="260">
        <f>E76-E77-E78</f>
        <v>64444</v>
      </c>
      <c r="F79" s="259">
        <f>E79/E74</f>
        <v>4.333564209294663E-2</v>
      </c>
      <c r="G79" s="261"/>
      <c r="H79" s="260">
        <f>H76-H77-H78</f>
        <v>64444</v>
      </c>
      <c r="I79" s="259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60">
        <f>C80/$C$74</f>
        <v>3.9525516276755275E-2</v>
      </c>
      <c r="E80" s="181">
        <f>E74*F80</f>
        <v>58778</v>
      </c>
      <c r="F80" s="161">
        <f>I80</f>
        <v>3.9525516276755275E-2</v>
      </c>
      <c r="H80" s="239">
        <f>Inputs!F96</f>
        <v>58778</v>
      </c>
      <c r="I80" s="161">
        <f>H80/$H$74</f>
        <v>3.9525516276755275E-2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248</v>
      </c>
      <c r="C82" s="77">
        <f>ABS(MAX(Data!C21,0)-MAX(Data!C19,0))</f>
        <v>171912</v>
      </c>
      <c r="D82" s="160">
        <f>C82/$C$74</f>
        <v>0.11560295610891069</v>
      </c>
      <c r="E82" s="239">
        <f>Inputs!E95</f>
        <v>171912</v>
      </c>
      <c r="F82" s="161">
        <f>E82/E74</f>
        <v>0.11560295610891069</v>
      </c>
      <c r="H82" s="239">
        <f>Inputs!F95</f>
        <v>171912</v>
      </c>
      <c r="I82" s="161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4">
        <f>C79-C81-C82-C80</f>
        <v>-166246</v>
      </c>
      <c r="D83" s="165">
        <f>C83/$C$74</f>
        <v>-0.11179283029271934</v>
      </c>
      <c r="E83" s="166">
        <f>E79-E81-E82-E80</f>
        <v>-166246</v>
      </c>
      <c r="F83" s="165">
        <f>E83/E74</f>
        <v>-0.11179283029271934</v>
      </c>
      <c r="H83" s="166">
        <f>H79-H81-H82-H80</f>
        <v>-166246</v>
      </c>
      <c r="I83" s="165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0.16500000000000001</v>
      </c>
      <c r="E84" s="213"/>
      <c r="F84" s="180">
        <f t="shared" ref="F84" si="3">I84</f>
        <v>0.16500000000000001</v>
      </c>
      <c r="H84" s="213"/>
      <c r="I84" s="203">
        <f>Inputs!C16</f>
        <v>0.16500000000000001</v>
      </c>
      <c r="K84" s="24"/>
    </row>
    <row r="85" spans="1:11" ht="15" customHeight="1" x14ac:dyDescent="0.4">
      <c r="B85" s="264" t="s">
        <v>165</v>
      </c>
      <c r="C85" s="258">
        <f>C83*(1-I84)</f>
        <v>-138815.41</v>
      </c>
      <c r="D85" s="259">
        <f>C85/$C$74</f>
        <v>-9.3347013294420647E-2</v>
      </c>
      <c r="E85" s="265">
        <f>E83*(1-F84)</f>
        <v>-138815.41</v>
      </c>
      <c r="F85" s="259">
        <f>E85/E74</f>
        <v>-9.3347013294420647E-2</v>
      </c>
      <c r="G85" s="261"/>
      <c r="H85" s="265">
        <f>H83*(1-I84)</f>
        <v>-138815.41</v>
      </c>
      <c r="I85" s="259">
        <f>H85/$H$74</f>
        <v>-9.3347013294420647E-2</v>
      </c>
      <c r="K85" s="24"/>
    </row>
    <row r="86" spans="1:11" ht="15" customHeight="1" x14ac:dyDescent="0.4">
      <c r="B86" s="87" t="s">
        <v>161</v>
      </c>
      <c r="C86" s="168">
        <f>C85*Data!C4/Common_Shares</f>
        <v>-0.17855978791633639</v>
      </c>
      <c r="D86" s="210"/>
      <c r="E86" s="169">
        <f>E85*Data!C4/Common_Shares</f>
        <v>-0.17855978791633639</v>
      </c>
      <c r="F86" s="210"/>
      <c r="H86" s="169">
        <f>H85*Data!C4/Common_Shares</f>
        <v>-0.17855978791633639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-1.2081176667277307E-2</v>
      </c>
      <c r="D87" s="210"/>
      <c r="E87" s="263">
        <f>E86*Exchange_Rate/Dashboard!G3</f>
        <v>-1.2081176667277307E-2</v>
      </c>
      <c r="F87" s="210"/>
      <c r="H87" s="263">
        <f>H86*Exchange_Rate/Dashboard!G3</f>
        <v>-1.2081176667277307E-2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0.06</v>
      </c>
      <c r="D88" s="167">
        <f>C88/C86</f>
        <v>-0.33602190448452368</v>
      </c>
      <c r="E88" s="171">
        <f>Inputs!E98</f>
        <v>0.06</v>
      </c>
      <c r="F88" s="167">
        <f>E88/E86</f>
        <v>-0.33602190448452368</v>
      </c>
      <c r="H88" s="171">
        <f>Inputs!F98</f>
        <v>0.06</v>
      </c>
      <c r="I88" s="167">
        <f>H88/H86</f>
        <v>-0.33602190448452368</v>
      </c>
      <c r="K88" s="24"/>
    </row>
    <row r="89" spans="1:11" ht="15" customHeight="1" x14ac:dyDescent="0.4">
      <c r="B89" s="87" t="s">
        <v>223</v>
      </c>
      <c r="C89" s="262">
        <f>C88*Exchange_Rate/Dashboard!G3</f>
        <v>4.0595399921525121E-3</v>
      </c>
      <c r="D89" s="210"/>
      <c r="E89" s="262">
        <f>E88*Exchange_Rate/Dashboard!G3</f>
        <v>4.0595399921525121E-3</v>
      </c>
      <c r="F89" s="210"/>
      <c r="H89" s="262">
        <f>H88*Exchange_Rate/Dashboard!G3</f>
        <v>4.0595399921525121E-3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-2.5459274734965085</v>
      </c>
      <c r="H93" s="87" t="s">
        <v>211</v>
      </c>
      <c r="I93" s="144">
        <f>FV(H87,D93,0,-(H86/C93))*Exchange_Rate</f>
        <v>-2.5459274734965085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0.92769378997816565</v>
      </c>
      <c r="H94" s="87" t="s">
        <v>212</v>
      </c>
      <c r="I94" s="144">
        <f>FV(H89,D93,0,-(H88/C93))*Exchange_Rate</f>
        <v>0.92769378997816565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-984035.67738717294</v>
      </c>
      <c r="D97" s="214"/>
      <c r="E97" s="123">
        <f>PV(C94,D93,0,-F93)</f>
        <v>-1.2657759095792176</v>
      </c>
      <c r="F97" s="214"/>
      <c r="H97" s="123">
        <f>PV(C94,D93,0,-I93)</f>
        <v>-1.2657759095792176</v>
      </c>
      <c r="I97" s="123">
        <f>PV(C93,D93,0,-I93)</f>
        <v>-1.8495241403311453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-984035.67738717294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358566.29716765176</v>
      </c>
      <c r="D103" s="109">
        <f>MIN(F103*(1-C94),E103)</f>
        <v>0.39204360437916552</v>
      </c>
      <c r="E103" s="123">
        <f>PV(C94,D93,0,-F94)</f>
        <v>0.46122776985784181</v>
      </c>
      <c r="F103" s="109">
        <f>(E103+H103)/2</f>
        <v>0.46122776985784181</v>
      </c>
      <c r="H103" s="123">
        <f>PV(C94,D93,0,-I94)</f>
        <v>0.46122776985784181</v>
      </c>
      <c r="I103" s="109">
        <f>PV(C93,D93,0,-I94)</f>
        <v>0.67393595350282542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179283.14858382588</v>
      </c>
      <c r="D106" s="109">
        <f>(D100+D103)/2</f>
        <v>0.19602180218958276</v>
      </c>
      <c r="E106" s="123">
        <f>(E100+E103)/2</f>
        <v>0.2306138849289209</v>
      </c>
      <c r="F106" s="109">
        <f>(F100+F103)/2</f>
        <v>0.2306138849289209</v>
      </c>
      <c r="H106" s="123">
        <f>(H100+H103)/2</f>
        <v>0.2306138849289209</v>
      </c>
      <c r="I106" s="123">
        <f>(I100+I103)/2</f>
        <v>0.33696797675141271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