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2D1E2D-96FE-44D6-896C-530B4D0CE2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<sst xmlns="http://schemas.openxmlformats.org/spreadsheetml/2006/main" count="390" uniqueCount="267">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</sst>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261</v>
      </c>
    </row>
    <row r="5" spans="1:5" ht="13.9" x14ac:dyDescent="0.4">
      <c r="B5" s="141" t="s">
        <v>197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245</v>
      </c>
    </row>
    <row r="10" spans="1:5" ht="13.9" x14ac:dyDescent="0.4">
      <c r="B10" s="140" t="s">
        <v>219</v>
      </c>
      <c r="C10" s="194">
        <v>6779458129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258</v>
      </c>
      <c r="C15" s="177" t="s">
        <v>191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263</v>
      </c>
      <c r="D17" s="24"/>
    </row>
    <row r="18" spans="2:13" ht="13.9" x14ac:dyDescent="0.4">
      <c r="B18" s="241" t="s">
        <v>240</v>
      </c>
      <c r="C18" s="243" t="s">
        <v>248</v>
      </c>
      <c r="D18" s="24"/>
    </row>
    <row r="19" spans="2:13" ht="13.9" x14ac:dyDescent="0.4">
      <c r="B19" s="241" t="s">
        <v>241</v>
      </c>
      <c r="C19" s="243" t="s">
        <v>264</v>
      </c>
      <c r="D19" s="24"/>
    </row>
    <row r="20" spans="2:13" ht="13.9" x14ac:dyDescent="0.4">
      <c r="B20" s="242" t="s">
        <v>230</v>
      </c>
      <c r="C20" s="243" t="s">
        <v>264</v>
      </c>
      <c r="D20" s="24"/>
    </row>
    <row r="21" spans="2:13" ht="13.9" x14ac:dyDescent="0.4">
      <c r="B21" s="225" t="s">
        <v>233</v>
      </c>
      <c r="C21" s="243" t="s">
        <v>263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8.1867389841742326E-4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266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250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259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0887.HK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英皇鐘錶珠寶</v>
      </c>
      <c r="D4" s="278"/>
      <c r="E4" s="87"/>
      <c r="F4" s="3" t="s">
        <v>3</v>
      </c>
      <c r="G4" s="281">
        <f>Inputs!C10</f>
        <v>6779458129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100200.38933630937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176</v>
      </c>
      <c r="G24" s="179">
        <f>(Fin_Analysis!H86*G7)/G3</f>
        <v>2.7641434512833342E-3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195</v>
      </c>
      <c r="G26" s="179">
        <f>Fin_Analysis!H88*Exchange_Rate/G3</f>
        <v>8.1867389841742326E-4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260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7.7794368404917547E-2</v>
      </c>
      <c r="D29" s="129">
        <f>G29*(1+G20)</f>
        <v>0.15379076320047236</v>
      </c>
      <c r="E29" s="87"/>
      <c r="F29" s="131">
        <f>IF(Fin_Analysis!C108="Profit",Fin_Analysis!F100,IF(Fin_Analysis!C108="Dividend",Fin_Analysis!F103,Fin_Analysis!F106))</f>
        <v>9.1522786358726529E-2</v>
      </c>
      <c r="G29" s="272">
        <f>IF(Fin_Analysis!C108="Profit",Fin_Analysis!I100,IF(Fin_Analysis!C108="Dividend",Fin_Analysis!I103,Fin_Analysis!I106))</f>
        <v>0.13373109843519337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0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2.7641434512833342E-3</v>
      </c>
      <c r="D87" s="210"/>
      <c r="E87" s="263">
        <f>E86*Exchange_Rate/Dashboard!G3</f>
        <v>2.7641434512833342E-3</v>
      </c>
      <c r="F87" s="210"/>
      <c r="H87" s="263">
        <f>H86*Exchange_Rate/Dashboard!G3</f>
        <v>2.7641434512833342E-3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223</v>
      </c>
      <c r="C89" s="262">
        <f>C88*Exchange_Rate/Dashboard!G3</f>
        <v>8.1867389841742326E-4</v>
      </c>
      <c r="D89" s="210"/>
      <c r="E89" s="262">
        <f>E88*Exchange_Rate/Dashboard!G3</f>
        <v>8.1867389841742326E-4</v>
      </c>
      <c r="F89" s="210"/>
      <c r="H89" s="262">
        <f>H88*Exchange_Rate/Dashboard!G3</f>
        <v>8.1867389841742326E-4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0.62760305588859155</v>
      </c>
      <c r="H93" s="87" t="s">
        <v>211</v>
      </c>
      <c r="I93" s="144">
        <f>FV(H87,D93,0,-(H86/C93))*Exchange_Rate</f>
        <v>0.62760305588859155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0.18408501416265149</v>
      </c>
      <c r="H94" s="87" t="s">
        <v>212</v>
      </c>
      <c r="I94" s="144">
        <f>FV(H89,D93,0,-(H88/C93))*Exchange_Rate</f>
        <v>0.18408501416265149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2115391.8684714744</v>
      </c>
      <c r="D97" s="214"/>
      <c r="E97" s="123">
        <f>PV(C94,D93,0,-F93)</f>
        <v>0.31202963838992009</v>
      </c>
      <c r="F97" s="214"/>
      <c r="H97" s="123">
        <f>PV(C94,D93,0,-I93)</f>
        <v>0.31202963838992009</v>
      </c>
      <c r="I97" s="123">
        <f>PV(C93,D93,0,-I93)</f>
        <v>0.45593089924803742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2115391.8684714744</v>
      </c>
      <c r="D100" s="109">
        <f>MIN(F100*(1-C94),E100)</f>
        <v>0.26522519263143207</v>
      </c>
      <c r="E100" s="109">
        <f>MAX(E97-H98+E99,0)</f>
        <v>0.31202963838992009</v>
      </c>
      <c r="F100" s="109">
        <f>(E100+H100)/2</f>
        <v>0.31202963838992009</v>
      </c>
      <c r="H100" s="109">
        <f>MAX(C100*Data!$C$4/Common_Shares,0)</f>
        <v>0.31202963838992009</v>
      </c>
      <c r="I100" s="109">
        <f>MAX(I97-H98+H99,0)</f>
        <v>0.45593089924803742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620474.89796839887</v>
      </c>
      <c r="D103" s="109">
        <f>MIN(F103*(1-C94),E103)</f>
        <v>7.7794368404917547E-2</v>
      </c>
      <c r="E103" s="123">
        <f>PV(C94,D93,0,-F94)</f>
        <v>9.1522786358726529E-2</v>
      </c>
      <c r="F103" s="109">
        <f>(E103+H103)/2</f>
        <v>9.1522786358726529E-2</v>
      </c>
      <c r="H103" s="123">
        <f>PV(C94,D93,0,-I94)</f>
        <v>9.1522786358726529E-2</v>
      </c>
      <c r="I103" s="109">
        <f>PV(C93,D93,0,-I94)</f>
        <v>0.13373109843519337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1367933.3832199366</v>
      </c>
      <c r="D106" s="109">
        <f>(D100+D103)/2</f>
        <v>0.17150978051817481</v>
      </c>
      <c r="E106" s="123">
        <f>(E100+E103)/2</f>
        <v>0.2017762123743233</v>
      </c>
      <c r="F106" s="109">
        <f>(F100+F103)/2</f>
        <v>0.2017762123743233</v>
      </c>
      <c r="H106" s="123">
        <f>(H100+H103)/2</f>
        <v>0.2017762123743233</v>
      </c>
      <c r="I106" s="123">
        <f>(I100+I103)/2</f>
        <v>0.2948309988416154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