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BE561EB-9430-4B61-BC05-26BE2E3F129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F91" i="4"/>
  <c r="F94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F92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<sst xmlns="http://schemas.openxmlformats.org/spreadsheetml/2006/main" count="390" uniqueCount="268">
  <si>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</si>
  <si>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</si>
  <si>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</si>
  <si>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</si>
  <si>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</si>
  <si>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</si>
  <si>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</si>
  <si>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</si>
  <si>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</si>
  <si>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</si>
  <si>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</si>
  <si>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</si>
  <si>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</si>
  <si>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</si>
  <si>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</si>
  <si>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</si>
  <si>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</si>
  <si>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</si>
  <si>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</si>
  <si>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</si>
  <si>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</si>
  <si>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</si>
  <si>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</si>
  <si>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</si>
  <si>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</si>
  <si>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</si>
  <si>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</si>
  <si>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</si>
  <si>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</si>
  <si>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</si>
  <si>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</si>
  <si>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</si>
  <si>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</si>
  <si>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</si>
  <si>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</si>
  <si>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</si>
  <si>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</si>
  <si>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</si>
  <si>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</si>
  <si>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</si>
  <si>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</si>
  <si>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</si>
  <si>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</si>
  <si>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</si>
  <si>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</si>
  <si>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</si>
  <si>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</si>
  <si>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</si>
  <si>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</si>
  <si>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</si>
  <si>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</si>
  <si>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</si>
  <si>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</si>
  <si>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</si>
  <si>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</si>
  <si>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</si>
  <si>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</si>
  <si>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</si>
  <si>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</si>
  <si>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</si>
  <si>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</si>
  <si>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</si>
  <si>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</si>
  <si>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</si>
  <si>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</si>
  <si>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</si>
  <si>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</si>
  <si>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</si>
  <si>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</si>
  <si>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</si>
  <si>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</si>
  <si>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</si>
  <si>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</si>
  <si>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</si>
  <si>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</si>
  <si>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</si>
  <si>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</si>
  <si>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</si>
  <si>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</si>
  <si>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</si>
  <si>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</si>
  <si>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</si>
  <si>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</si>
  <si>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</si>
  <si>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</si>
  <si>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</si>
  <si>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</si>
  <si>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</si>
  <si>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</si>
  <si>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</si>
  <si>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</si>
  <si>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</si>
  <si>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</si>
  <si>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</si>
  <si>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</si>
  <si>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</si>
  <si>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</si>
  <si>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</si>
  <si>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</si>
  <si>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</si>
  <si>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</si>
  <si>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</si>
  <si>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</si>
  <si>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</si>
  <si>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</si>
  <si>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</si>
  <si>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</si>
  <si>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</si>
  <si>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</si>
  <si>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</si>
  <si>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</si>
  <si>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</si>
  <si>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</si>
  <si>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</si>
  <si>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</si>
  <si>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</si>
  <si>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</si>
  <si>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</si>
  <si>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</si>
  <si>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</si>
  <si>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</si>
  <si>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</si>
  <si>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</si>
  <si>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</si>
  <si>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</si>
  <si>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</si>
  <si>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</si>
  <si>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</si>
  <si>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</si>
  <si>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</si>
  <si>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</si>
  <si>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</si>
  <si>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</si>
  <si>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</si>
  <si>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</si>
  <si>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</si>
  <si>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</si>
  <si>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</si>
  <si>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</si>
  <si>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</si>
  <si>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</si>
  <si>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</si>
  <si>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</si>
  <si>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</si>
  <si>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</si>
  <si>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</si>
  <si>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</si>
  <si>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</si>
  <si>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</si>
  <si>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</si>
  <si>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</si>
  <si>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</si>
  <si>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</si>
  <si>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</si>
  <si>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</si>
  <si>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</si>
  <si>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</si>
  <si>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</si>
  <si>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</si>
  <si>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</si>
  <si>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</si>
  <si>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</si>
  <si>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</si>
  <si>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</si>
  <si>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</si>
  <si>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</si>
  <si>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</si>
  <si>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</si>
  <si>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</si>
  <si>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</si>
  <si>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</si>
  <si>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</si>
  <si>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</si>
  <si>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</si>
  <si>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</si>
  <si>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</si>
  <si>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</si>
  <si>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</si>
  <si>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</si>
  <si>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</si>
  <si>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</si>
  <si>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</si>
  <si>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</si>
  <si>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</si>
  <si>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</si>
  <si>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</si>
  <si>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</si>
  <si>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</si>
  <si>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</si>
  <si>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</si>
  <si>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</si>
  <si>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</si>
  <si>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</si>
  <si>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</si>
  <si>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</si>
  <si>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</si>
  <si>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</si>
  <si>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</si>
  <si>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</si>
  <si>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</si>
  <si>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</si>
  <si>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</si>
  <si>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</si>
  <si>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</si>
  <si>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</si>
  <si>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</si>
  <si>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</si>
  <si>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</si>
  <si>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</si>
  <si>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</si>
  <si>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</si>
  <si>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</si>
  <si>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</si>
  <si>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</si>
  <si>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</si>
  <si>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</si>
  <si>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</si>
  <si>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</si>
  <si>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</si>
  <si>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</si>
  <si>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</si>
  <si>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</si>
  <si>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</si>
  <si>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</si>
  <si>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</si>
  <si>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</si>
  <si>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</si>
  <si>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</si>
  <si>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</si>
  <si>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</si>
  <si>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</si>
  <si>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</si>
  <si>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</si>
  <si>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</si>
  <si>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</si>
  <si>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</si>
  <si>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</si>
  <si>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</si>
  <si>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</si>
  <si>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</si>
  <si>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</si>
  <si>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</si>
  <si>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</si>
  <si>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</si>
  <si>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</si>
  <si>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</si>
  <si>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</si>
  <si>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</si>
  <si>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</si>
  <si>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</si>
  <si>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</si>
  <si>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</si>
  <si>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</si>
  <si>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</si>
  <si>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</si>
  <si>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</si>
  <si>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</si>
  <si>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</si>
  <si>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</si>
  <si>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</si>
  <si>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</si>
  <si>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</si>
  <si>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1066.HK</t>
  </si>
  <si>
    <t>威高股份</t>
  </si>
  <si>
    <t xml:space="preserve">Superior Cycl. </t>
  </si>
  <si>
    <t>C0007</t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</si>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</sst>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0.49786034237394394</c:v>
                </c:pt>
                <c:pt idx="1">
                  <c:v>0.33448624066316274</c:v>
                </c:pt>
                <c:pt idx="2">
                  <c:v>6.0164745032668145E-3</c:v>
                </c:pt>
                <c:pt idx="3">
                  <c:v>0</c:v>
                </c:pt>
                <c:pt idx="4">
                  <c:v>2.063358175126364E-2</c:v>
                </c:pt>
                <c:pt idx="5">
                  <c:v>0</c:v>
                </c:pt>
                <c:pt idx="6">
                  <c:v>0.14100336070836289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262</v>
      </c>
    </row>
    <row r="5" spans="1:5" ht="13.9" x14ac:dyDescent="0.4">
      <c r="B5" s="141" t="s">
        <v>197</v>
      </c>
      <c r="C5" s="192" t="s">
        <v>263</v>
      </c>
    </row>
    <row r="6" spans="1:5" ht="13.9" x14ac:dyDescent="0.4">
      <c r="B6" s="141" t="s">
        <v>164</v>
      </c>
      <c r="C6" s="190">
        <v>45625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264</v>
      </c>
      <c r="E8" s="268"/>
    </row>
    <row r="9" spans="1:5" ht="13.9" x14ac:dyDescent="0.4">
      <c r="B9" s="140" t="s">
        <v>218</v>
      </c>
      <c r="C9" s="193" t="s">
        <v>265</v>
      </c>
    </row>
    <row r="10" spans="1:5" ht="13.9" x14ac:dyDescent="0.4">
      <c r="B10" s="140" t="s">
        <v>219</v>
      </c>
      <c r="C10" s="194">
        <v>4570632324</v>
      </c>
    </row>
    <row r="11" spans="1:5" ht="13.9" x14ac:dyDescent="0.4">
      <c r="B11" s="140" t="s">
        <v>220</v>
      </c>
      <c r="C11" s="193" t="s">
        <v>266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267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247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247</v>
      </c>
      <c r="D19" s="24"/>
    </row>
    <row r="20" spans="2:13" ht="13.9" x14ac:dyDescent="0.4">
      <c r="B20" s="242" t="s">
        <v>230</v>
      </c>
      <c r="C20" s="243" t="s">
        <v>247</v>
      </c>
      <c r="D20" s="24"/>
    </row>
    <row r="21" spans="2:13" ht="13.9" x14ac:dyDescent="0.4">
      <c r="B21" s="225" t="s">
        <v>233</v>
      </c>
      <c r="C21" s="243" t="s">
        <v>247</v>
      </c>
      <c r="D21" s="24"/>
    </row>
    <row r="22" spans="2:13" ht="78.75" x14ac:dyDescent="0.4">
      <c r="B22" s="227" t="s">
        <v>232</v>
      </c>
      <c r="C22" s="244" t="s">
        <v>261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13229453</v>
      </c>
      <c r="D25" s="150">
        <v>13747473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6586420</v>
      </c>
      <c r="D26" s="151">
        <v>6441741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2582237+1249983</f>
        <v>3832220</v>
      </c>
      <c r="D27" s="151">
        <f>2536450+1122577</f>
        <v>3659027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592850</v>
      </c>
      <c r="D28" s="151">
        <v>556442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272971</v>
      </c>
      <c r="D29" s="151">
        <v>191401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59696</v>
      </c>
      <c r="D30" s="151">
        <v>186057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0.0943+0.0734</f>
        <v>0.16770000000000002</v>
      </c>
      <c r="D44" s="251">
        <f>0.079+0.086</f>
        <v>0.16499999999999998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1.1346414278066272E-2</v>
      </c>
      <c r="D45" s="153">
        <f>IF(D44="","",D44*Exchange_Rate/Dashboard!$G$3)</f>
        <v>1.1163734978419406E-2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13229453</v>
      </c>
      <c r="D91" s="210"/>
      <c r="E91" s="252">
        <f>C91</f>
        <v>13229453</v>
      </c>
      <c r="F91" s="252">
        <f>C91</f>
        <v>13229453</v>
      </c>
    </row>
    <row r="92" spans="2:8" ht="13.9" x14ac:dyDescent="0.4">
      <c r="B92" s="104" t="s">
        <v>106</v>
      </c>
      <c r="C92" s="77">
        <f>C26</f>
        <v>6586420</v>
      </c>
      <c r="D92" s="160">
        <f>C92/C91</f>
        <v>0.49786034237394394</v>
      </c>
      <c r="E92" s="253">
        <f>E91*D92</f>
        <v>6586420</v>
      </c>
      <c r="F92" s="253">
        <f>F91*D92</f>
        <v>6586420</v>
      </c>
    </row>
    <row r="93" spans="2:8" ht="13.9" x14ac:dyDescent="0.4">
      <c r="B93" s="104" t="s">
        <v>249</v>
      </c>
      <c r="C93" s="77">
        <f>C27+C28</f>
        <v>4425070</v>
      </c>
      <c r="D93" s="160">
        <f>C93/C91</f>
        <v>0.33448624066316274</v>
      </c>
      <c r="E93" s="253">
        <f>E91*D93</f>
        <v>4425070</v>
      </c>
      <c r="F93" s="253">
        <f>F91*D93</f>
        <v>4425070</v>
      </c>
    </row>
    <row r="94" spans="2:8" ht="13.9" x14ac:dyDescent="0.4">
      <c r="B94" s="104" t="s">
        <v>259</v>
      </c>
      <c r="C94" s="77">
        <f>C29</f>
        <v>272971</v>
      </c>
      <c r="D94" s="160">
        <f>C94/C91</f>
        <v>2.063358175126364E-2</v>
      </c>
      <c r="E94" s="254"/>
      <c r="F94" s="253">
        <f>F91*D94</f>
        <v>272971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79594.666666666672</v>
      </c>
      <c r="D97" s="160">
        <f>C97/C91</f>
        <v>6.0164745032668145E-3</v>
      </c>
      <c r="E97" s="254"/>
      <c r="F97" s="253">
        <f>F91*D97</f>
        <v>79594.666666666672</v>
      </c>
    </row>
    <row r="98" spans="2:7" ht="13.9" x14ac:dyDescent="0.4">
      <c r="B98" s="86" t="s">
        <v>209</v>
      </c>
      <c r="C98" s="238">
        <f>C44</f>
        <v>0.16770000000000002</v>
      </c>
      <c r="D98" s="267"/>
      <c r="E98" s="255">
        <f>F98</f>
        <v>0.16770000000000002</v>
      </c>
      <c r="F98" s="255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1066.HK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威高股份</v>
      </c>
      <c r="D4" s="278"/>
      <c r="E4" s="87"/>
      <c r="F4" s="3" t="s">
        <v>3</v>
      </c>
      <c r="G4" s="281">
        <f>Inputs!C10</f>
        <v>4570632324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45625</v>
      </c>
      <c r="D5" s="280"/>
      <c r="E5" s="34"/>
      <c r="F5" s="35" t="s">
        <v>100</v>
      </c>
      <c r="G5" s="273">
        <f>G3*G4/1000000</f>
        <v>67553.944528229491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 xml:space="preserve">Superior Cycl. </v>
      </c>
      <c r="D7" s="188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0.49786034237394394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0.33448624066316274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6.0164745032668145E-3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2.063358175126364E-2</v>
      </c>
      <c r="F24" s="140" t="s">
        <v>176</v>
      </c>
      <c r="G24" s="179">
        <f>(Fin_Analysis!H86*G7)/G3</f>
        <v>2.0710085987878393E-2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0.54786900859355803</v>
      </c>
    </row>
    <row r="26" spans="1:8" ht="15.75" customHeight="1" x14ac:dyDescent="0.4">
      <c r="B26" s="138" t="s">
        <v>174</v>
      </c>
      <c r="C26" s="172">
        <f>Fin_Analysis!I83</f>
        <v>0.14100336070836289</v>
      </c>
      <c r="F26" s="141" t="s">
        <v>195</v>
      </c>
      <c r="G26" s="179">
        <f>Fin_Analysis!H88*Exchange_Rate/G3</f>
        <v>1.1346414278066272E-2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1.9905156057897289</v>
      </c>
      <c r="D29" s="129">
        <f>G29*(1+G20)</f>
        <v>3.8261304804965635</v>
      </c>
      <c r="E29" s="87"/>
      <c r="F29" s="131">
        <f>IF(Fin_Analysis!C108="Profit",Fin_Analysis!F100,IF(Fin_Analysis!C108="Dividend",Fin_Analysis!F103,Fin_Analysis!F106))</f>
        <v>2.3417830656349752</v>
      </c>
      <c r="G29" s="272">
        <f>IF(Fin_Analysis!C108="Profit",Fin_Analysis!I100,IF(Fin_Analysis!C108="Dividend",Fin_Analysis!I103,Fin_Analysis!I106))</f>
        <v>3.3270699830404902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unclear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13229453</v>
      </c>
      <c r="D6" s="201">
        <f>IF(Inputs!D25="","",Inputs!D25)</f>
        <v>13747473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6586420</v>
      </c>
      <c r="D8" s="200">
        <f>IF(Inputs!D26="","",Inputs!D26)</f>
        <v>6441741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6643033</v>
      </c>
      <c r="D9" s="152">
        <f t="shared" si="2"/>
        <v>7305732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3832220</v>
      </c>
      <c r="D10" s="200">
        <f>IF(Inputs!D27="","",Inputs!D27)</f>
        <v>3659027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592850</v>
      </c>
      <c r="D11" s="200">
        <f>IF(Inputs!D28="","",Inputs!D28)</f>
        <v>556442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79594.666666666672</v>
      </c>
      <c r="D12" s="200">
        <f>IF(Inputs!D30="","",MAX(Inputs!D30,0)/(1-Fin_Analysis!$I$84))</f>
        <v>248076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0.16163694245962654</v>
      </c>
      <c r="D13" s="230">
        <f t="shared" si="3"/>
        <v>0.20674250460430074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2138368.3333333335</v>
      </c>
      <c r="D14" s="231">
        <f t="shared" ref="D14:M14" si="4">IF(D6="","",D9-D10-MAX(D11,0)-MAX(D12,0))</f>
        <v>2842187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-0.24763277949926113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272971</v>
      </c>
      <c r="D17" s="200">
        <f>IF(Inputs!D29="","",Inputs!D29)</f>
        <v>191401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1865397.3333333335</v>
      </c>
      <c r="D22" s="162">
        <f t="shared" ref="D22:M22" si="8">IF(D6="","",D14-MAX(D16,0)-MAX(D17,0)-ABS(MAX(D21,0)-MAX(D19,0)))</f>
        <v>2650786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0.10575252053127215</v>
      </c>
      <c r="D23" s="154">
        <f t="shared" si="9"/>
        <v>0.14461490486287917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-0.29628520245190171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0.49786034237394394</v>
      </c>
      <c r="D42" s="157">
        <f t="shared" si="34"/>
        <v>0.46857637036275684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0.33448624066316274</v>
      </c>
      <c r="D43" s="154">
        <f t="shared" si="35"/>
        <v>0.30663591774284626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2.063358175126364E-2</v>
      </c>
      <c r="D45" s="154">
        <f t="shared" si="37"/>
        <v>1.3922631453795182E-2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6.0164745032668145E-3</v>
      </c>
      <c r="D46" s="154">
        <f t="shared" ref="D46:M46" si="38">IF(D6="","",MAX(D12,0)/D6)</f>
        <v>1.8045207290096149E-2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0.14100336070836289</v>
      </c>
      <c r="D48" s="154">
        <f t="shared" si="40"/>
        <v>0.19281987315050556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0.14633397138625692</v>
      </c>
      <c r="D55" s="154">
        <f t="shared" si="45"/>
        <v>7.2205376065815952E-2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13229453</v>
      </c>
      <c r="D74" s="210"/>
      <c r="E74" s="239">
        <f>Inputs!E91</f>
        <v>13229453</v>
      </c>
      <c r="F74" s="210"/>
      <c r="H74" s="239">
        <f>Inputs!F91</f>
        <v>13229453</v>
      </c>
      <c r="I74" s="210"/>
      <c r="K74" s="24"/>
    </row>
    <row r="75" spans="1:11" ht="15" customHeight="1" x14ac:dyDescent="0.4">
      <c r="B75" s="104" t="s">
        <v>106</v>
      </c>
      <c r="C75" s="77">
        <f>Data!C8</f>
        <v>6586420</v>
      </c>
      <c r="D75" s="160">
        <f>C75/$C$74</f>
        <v>0.49786034237394394</v>
      </c>
      <c r="E75" s="239">
        <f>Inputs!E92</f>
        <v>6586420</v>
      </c>
      <c r="F75" s="161">
        <f>E75/E74</f>
        <v>0.49786034237394394</v>
      </c>
      <c r="H75" s="239">
        <f>Inputs!F92</f>
        <v>6586420</v>
      </c>
      <c r="I75" s="161">
        <f>H75/$H$74</f>
        <v>0.49786034237394394</v>
      </c>
      <c r="K75" s="24"/>
    </row>
    <row r="76" spans="1:11" ht="15" customHeight="1" x14ac:dyDescent="0.4">
      <c r="B76" s="35" t="s">
        <v>96</v>
      </c>
      <c r="C76" s="162">
        <f>C74-C75</f>
        <v>6643033</v>
      </c>
      <c r="D76" s="211"/>
      <c r="E76" s="163">
        <f>E74-E75</f>
        <v>6643033</v>
      </c>
      <c r="F76" s="211"/>
      <c r="H76" s="163">
        <f>H74-H75</f>
        <v>6643033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4425070</v>
      </c>
      <c r="D77" s="160">
        <f>C77/$C$74</f>
        <v>0.33448624066316274</v>
      </c>
      <c r="E77" s="239">
        <f>Inputs!E93</f>
        <v>4425070</v>
      </c>
      <c r="F77" s="161">
        <f>E77/E74</f>
        <v>0.33448624066316274</v>
      </c>
      <c r="H77" s="239">
        <f>Inputs!F93</f>
        <v>4425070</v>
      </c>
      <c r="I77" s="161">
        <f>H77/$H$74</f>
        <v>0.33448624066316274</v>
      </c>
      <c r="K77" s="24"/>
    </row>
    <row r="78" spans="1:11" ht="15" customHeight="1" x14ac:dyDescent="0.4">
      <c r="B78" s="73" t="s">
        <v>173</v>
      </c>
      <c r="C78" s="77">
        <f>MAX(Data!C12,0)</f>
        <v>79594.666666666672</v>
      </c>
      <c r="D78" s="160">
        <f>C78/$C$74</f>
        <v>6.0164745032668145E-3</v>
      </c>
      <c r="E78" s="181">
        <f>E74*F78</f>
        <v>79594.666666666672</v>
      </c>
      <c r="F78" s="161">
        <f>I78</f>
        <v>6.0164745032668145E-3</v>
      </c>
      <c r="H78" s="239">
        <f>Inputs!F97</f>
        <v>79594.666666666672</v>
      </c>
      <c r="I78" s="161">
        <f>H78/$H$74</f>
        <v>6.0164745032668145E-3</v>
      </c>
      <c r="K78" s="24"/>
    </row>
    <row r="79" spans="1:11" ht="15" customHeight="1" x14ac:dyDescent="0.4">
      <c r="B79" s="257" t="s">
        <v>234</v>
      </c>
      <c r="C79" s="258">
        <f>C76-C77-C78</f>
        <v>2138368.3333333335</v>
      </c>
      <c r="D79" s="259">
        <f>C79/C74</f>
        <v>0.16163694245962654</v>
      </c>
      <c r="E79" s="260">
        <f>E76-E77-E78</f>
        <v>2138368.3333333335</v>
      </c>
      <c r="F79" s="259">
        <f>E79/E74</f>
        <v>0.16163694245962654</v>
      </c>
      <c r="G79" s="261"/>
      <c r="H79" s="260">
        <f>H76-H77-H78</f>
        <v>2138368.3333333335</v>
      </c>
      <c r="I79" s="259">
        <f>H79/H74</f>
        <v>0.16163694245962654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272971</v>
      </c>
      <c r="D81" s="160">
        <f>C81/$C$74</f>
        <v>2.063358175126364E-2</v>
      </c>
      <c r="E81" s="181">
        <f>E74*F81</f>
        <v>272971</v>
      </c>
      <c r="F81" s="161">
        <f>I81</f>
        <v>2.063358175126364E-2</v>
      </c>
      <c r="H81" s="239">
        <f>Inputs!F94</f>
        <v>272971</v>
      </c>
      <c r="I81" s="161">
        <f>H81/$H$74</f>
        <v>2.063358175126364E-2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1865397.3333333335</v>
      </c>
      <c r="D83" s="165">
        <f>C83/$C$74</f>
        <v>0.14100336070836289</v>
      </c>
      <c r="E83" s="166">
        <f>E79-E81-E82-E80</f>
        <v>1865397.3333333335</v>
      </c>
      <c r="F83" s="165">
        <f>E83/E74</f>
        <v>0.14100336070836289</v>
      </c>
      <c r="H83" s="166">
        <f>H79-H81-H82-H80</f>
        <v>1865397.3333333335</v>
      </c>
      <c r="I83" s="165">
        <f>H83/$H$74</f>
        <v>0.14100336070836289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1399048</v>
      </c>
      <c r="D85" s="259">
        <f>C85/$C$74</f>
        <v>0.10575252053127215</v>
      </c>
      <c r="E85" s="265">
        <f>E83*(1-F84)</f>
        <v>1399048</v>
      </c>
      <c r="F85" s="259">
        <f>E85/E74</f>
        <v>0.10575252053127215</v>
      </c>
      <c r="G85" s="261"/>
      <c r="H85" s="265">
        <f>H83*(1-I84)</f>
        <v>1399048</v>
      </c>
      <c r="I85" s="259">
        <f>H85/$H$74</f>
        <v>0.10575252053127215</v>
      </c>
      <c r="K85" s="24"/>
    </row>
    <row r="86" spans="1:11" ht="15" customHeight="1" x14ac:dyDescent="0.4">
      <c r="B86" s="87" t="s">
        <v>161</v>
      </c>
      <c r="C86" s="168">
        <f>C85*Data!C4/Common_Shares</f>
        <v>0.30609506537065306</v>
      </c>
      <c r="D86" s="210"/>
      <c r="E86" s="169">
        <f>E85*Data!C4/Common_Shares</f>
        <v>0.30609506537065306</v>
      </c>
      <c r="F86" s="210"/>
      <c r="H86" s="169">
        <f>H85*Data!C4/Common_Shares</f>
        <v>0.30609506537065306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2.0710085987878393E-2</v>
      </c>
      <c r="D87" s="210"/>
      <c r="E87" s="263">
        <f>E86*Exchange_Rate/Dashboard!G3</f>
        <v>2.0710085987878393E-2</v>
      </c>
      <c r="F87" s="210"/>
      <c r="H87" s="263">
        <f>H86*Exchange_Rate/Dashboard!G3</f>
        <v>2.0710085987878393E-2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0.16770000000000002</v>
      </c>
      <c r="D88" s="167">
        <f>C88/C86</f>
        <v>0.54786900859355803</v>
      </c>
      <c r="E88" s="171">
        <f>Inputs!E98</f>
        <v>0.16770000000000002</v>
      </c>
      <c r="F88" s="167">
        <f>E88/E86</f>
        <v>0.54786900859355803</v>
      </c>
      <c r="H88" s="171">
        <f>Inputs!F98</f>
        <v>0.16770000000000002</v>
      </c>
      <c r="I88" s="167">
        <f>H88/H86</f>
        <v>0.54786900859355803</v>
      </c>
      <c r="K88" s="24"/>
    </row>
    <row r="89" spans="1:11" ht="15" customHeight="1" x14ac:dyDescent="0.4">
      <c r="B89" s="87" t="s">
        <v>223</v>
      </c>
      <c r="C89" s="262">
        <f>C88*Exchange_Rate/Dashboard!G3</f>
        <v>1.1346414278066272E-2</v>
      </c>
      <c r="D89" s="210"/>
      <c r="E89" s="262">
        <f>E88*Exchange_Rate/Dashboard!G3</f>
        <v>1.1346414278066272E-2</v>
      </c>
      <c r="F89" s="210"/>
      <c r="H89" s="262">
        <f>H88*Exchange_Rate/Dashboard!G3</f>
        <v>1.1346414278066272E-2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4.7101622006306902</v>
      </c>
      <c r="H93" s="87" t="s">
        <v>211</v>
      </c>
      <c r="I93" s="144">
        <f>FV(H87,D93,0,-(H86/C93))*Exchange_Rate</f>
        <v>4.7101622006306902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2.4643379282251914</v>
      </c>
      <c r="H94" s="87" t="s">
        <v>212</v>
      </c>
      <c r="I94" s="144">
        <f>FV(H89,D93,0,-(H88/C93))*Exchange_Rate</f>
        <v>2.4643379282251914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10703429.375587031</v>
      </c>
      <c r="D97" s="214"/>
      <c r="E97" s="123">
        <f>PV(C94,D93,0,-F93)</f>
        <v>2.3417830656349752</v>
      </c>
      <c r="F97" s="214"/>
      <c r="H97" s="123">
        <f>PV(C94,D93,0,-I93)</f>
        <v>2.3417830656349752</v>
      </c>
      <c r="I97" s="123">
        <f>PV(C93,D93,0,-I93)</f>
        <v>3.3270699830404902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10703429.375587031</v>
      </c>
      <c r="D100" s="109">
        <f>MIN(F100*(1-C94),E100)</f>
        <v>1.9905156057897289</v>
      </c>
      <c r="E100" s="109">
        <f>MAX(E97-H98+E99,0)</f>
        <v>2.3417830656349752</v>
      </c>
      <c r="F100" s="109">
        <f>(E100+H100)/2</f>
        <v>2.3417830656349752</v>
      </c>
      <c r="H100" s="109">
        <f>MAX(C100*Data!$C$4/Common_Shares,0)</f>
        <v>2.3417830656349752</v>
      </c>
      <c r="I100" s="109">
        <f>MAX(I97-H98+H99,0)</f>
        <v>3.3270699830404902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5599991.2208558209</v>
      </c>
      <c r="D103" s="109">
        <f>MIN(F103*(1-C94),E103)</f>
        <v>1.0414297629527391</v>
      </c>
      <c r="E103" s="123">
        <f>PV(C94,D93,0,-F94)</f>
        <v>1.225211485826752</v>
      </c>
      <c r="F103" s="109">
        <f>(E103+H103)/2</f>
        <v>1.225211485826752</v>
      </c>
      <c r="H103" s="123">
        <f>PV(C94,D93,0,-I94)</f>
        <v>1.225211485826752</v>
      </c>
      <c r="I103" s="109">
        <f>PV(C93,D93,0,-I94)</f>
        <v>1.7407096400986732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8151710.2982214261</v>
      </c>
      <c r="D106" s="109">
        <f>(D100+D103)/2</f>
        <v>1.515972684371234</v>
      </c>
      <c r="E106" s="123">
        <f>(E100+E103)/2</f>
        <v>1.7834972757308636</v>
      </c>
      <c r="F106" s="109">
        <f>(F100+F103)/2</f>
        <v>1.7834972757308636</v>
      </c>
      <c r="H106" s="123">
        <f>(H100+H103)/2</f>
        <v>1.7834972757308636</v>
      </c>
      <c r="I106" s="123">
        <f>(I100+I103)/2</f>
        <v>2.5338898115695816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