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C370F8-C2FC-453B-BE6F-BB1B3DBE437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4" i="4" l="1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<sst xmlns="http://schemas.openxmlformats.org/spreadsheetml/2006/main" count="390" uniqueCount="269">
  <si>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</si>
  <si>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</si>
  <si>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</si>
  <si>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</si>
  <si>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</si>
  <si>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</si>
  <si>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</si>
  <si>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</si>
  <si>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</si>
  <si>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</si>
  <si>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</si>
  <si>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</si>
  <si>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</si>
  <si>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</si>
  <si>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</si>
  <si>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</si>
  <si>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</si>
  <si>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</si>
  <si>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</si>
  <si>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</si>
  <si>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</si>
  <si>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</si>
  <si>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</si>
  <si>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</si>
  <si>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</si>
  <si>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</si>
  <si>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</si>
  <si>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</si>
  <si>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</si>
  <si>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</si>
  <si>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</si>
  <si>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</si>
  <si>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</si>
  <si>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</si>
  <si>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</si>
  <si>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</si>
  <si>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</si>
  <si>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</si>
  <si>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</si>
  <si>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</si>
  <si>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</si>
  <si>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</si>
  <si>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</si>
  <si>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</si>
  <si>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</si>
  <si>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</si>
  <si>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</si>
  <si>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</si>
  <si>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</si>
  <si>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</si>
  <si>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</si>
  <si>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</si>
  <si>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</si>
  <si>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</si>
  <si>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</si>
  <si>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</si>
  <si>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</si>
  <si>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</si>
  <si>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</si>
  <si>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</si>
  <si>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</si>
  <si>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</si>
  <si>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</si>
  <si>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</si>
  <si>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</si>
  <si>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</si>
  <si>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</si>
  <si>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</si>
  <si>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</si>
  <si>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</si>
  <si>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</si>
  <si>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</si>
  <si>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</si>
  <si>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</si>
  <si>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</si>
  <si>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</si>
  <si>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</si>
  <si>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</si>
  <si>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</si>
  <si>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</si>
  <si>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</si>
  <si>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</si>
  <si>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</si>
  <si>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</si>
  <si>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</si>
  <si>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</si>
  <si>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</si>
  <si>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</si>
  <si>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</si>
  <si>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</si>
  <si>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</si>
  <si>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</si>
  <si>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</si>
  <si>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</si>
  <si>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</si>
  <si>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</si>
  <si>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</si>
  <si>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</si>
  <si>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</si>
  <si>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</si>
  <si>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</si>
  <si>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</si>
  <si>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</si>
  <si>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</si>
  <si>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</si>
  <si>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</si>
  <si>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</si>
  <si>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</si>
  <si>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</si>
  <si>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</si>
  <si>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</si>
  <si>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</si>
  <si>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</si>
  <si>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</si>
  <si>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</si>
  <si>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</si>
  <si>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</si>
  <si>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</si>
  <si>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</si>
  <si>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</si>
  <si>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</si>
  <si>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</si>
  <si>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</si>
  <si>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</si>
  <si>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</si>
  <si>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</si>
  <si>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</si>
  <si>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</si>
  <si>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</si>
  <si>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</si>
  <si>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</si>
  <si>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</si>
  <si>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</si>
  <si>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</si>
  <si>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</si>
  <si>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</si>
  <si>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</si>
  <si>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</si>
  <si>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</si>
  <si>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</si>
  <si>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</si>
  <si>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</si>
  <si>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</si>
  <si>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</si>
  <si>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</si>
  <si>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</si>
  <si>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</si>
  <si>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</si>
  <si>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</si>
  <si>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</si>
  <si>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</si>
  <si>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</si>
  <si>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</si>
  <si>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</si>
  <si>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</si>
  <si>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</si>
  <si>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</si>
  <si>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</si>
  <si>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</si>
  <si>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</si>
  <si>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</si>
  <si>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</si>
  <si>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</si>
  <si>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</si>
  <si>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</si>
  <si>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</si>
  <si>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</si>
  <si>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</si>
  <si>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</si>
  <si>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</si>
  <si>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</si>
  <si>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</si>
  <si>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</si>
  <si>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</si>
  <si>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</si>
  <si>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</si>
  <si>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</si>
  <si>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</si>
  <si>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</si>
  <si>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</si>
  <si>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</si>
  <si>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</si>
  <si>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</si>
  <si>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</si>
  <si>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</si>
  <si>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</si>
  <si>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</si>
  <si>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</si>
  <si>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</si>
  <si>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</si>
  <si>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</si>
  <si>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</si>
  <si>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</si>
  <si>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</si>
  <si>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</si>
  <si>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</si>
  <si>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</si>
  <si>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</si>
  <si>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</si>
  <si>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</si>
  <si>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</si>
  <si>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</si>
  <si>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</si>
  <si>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</si>
  <si>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</si>
  <si>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</si>
  <si>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</si>
  <si>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</si>
  <si>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</si>
  <si>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</si>
  <si>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</si>
  <si>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</si>
  <si>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</si>
  <si>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</si>
  <si>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</si>
  <si>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</si>
  <si>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</si>
  <si>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</si>
  <si>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</si>
  <si>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</si>
  <si>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</si>
  <si>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</si>
  <si>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</si>
  <si>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</si>
  <si>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</si>
  <si>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</si>
  <si>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</si>
  <si>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</si>
  <si>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</si>
  <si>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</si>
  <si>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</si>
  <si>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</si>
  <si>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</si>
  <si>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</si>
  <si>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</si>
  <si>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</si>
  <si>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</si>
  <si>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</si>
  <si>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</si>
  <si>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</si>
  <si>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</si>
  <si>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</si>
  <si>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</si>
  <si>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</si>
  <si>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</si>
  <si>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</si>
  <si>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</si>
  <si>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</si>
  <si>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</si>
  <si>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</si>
  <si>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</si>
  <si>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</si>
  <si>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</si>
  <si>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</si>
  <si>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</si>
  <si>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</si>
  <si>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</si>
  <si>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</si>
  <si>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</si>
  <si>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</si>
  <si>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</si>
  <si>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</si>
  <si>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6186.HK</t>
  </si>
  <si>
    <t>中国飞鹤</t>
  </si>
  <si>
    <t>C0002</t>
  </si>
  <si>
    <t>CNY</t>
  </si>
  <si>
    <t>CN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</si>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</sst>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262</v>
      </c>
    </row>
    <row r="5" spans="1:5" ht="13.9" x14ac:dyDescent="0.4">
      <c r="B5" s="141" t="s">
        <v>197</v>
      </c>
      <c r="C5" s="192" t="s">
        <v>263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264</v>
      </c>
    </row>
    <row r="10" spans="1:5" ht="13.9" x14ac:dyDescent="0.4">
      <c r="B10" s="140" t="s">
        <v>219</v>
      </c>
      <c r="C10" s="194">
        <v>9067251704</v>
      </c>
    </row>
    <row r="11" spans="1:5" ht="13.9" x14ac:dyDescent="0.4">
      <c r="B11" s="140" t="s">
        <v>220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268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2.1082544359245378E-2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19073030</v>
      </c>
      <c r="D48" s="60">
        <v>0.9</v>
      </c>
      <c r="E48" s="112"/>
    </row>
    <row r="49" spans="2:5" ht="13.9" x14ac:dyDescent="0.4">
      <c r="B49" s="1" t="s">
        <v>136</v>
      </c>
      <c r="C49" s="59">
        <v>20972</v>
      </c>
      <c r="D49" s="60">
        <v>0.8</v>
      </c>
      <c r="E49" s="112"/>
    </row>
    <row r="50" spans="2:5" ht="13.9" x14ac:dyDescent="0.4">
      <c r="B50" s="3" t="s">
        <v>117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854264</v>
      </c>
      <c r="D54" s="60">
        <v>0.1</v>
      </c>
      <c r="E54" s="112"/>
    </row>
    <row r="55" spans="2:5" ht="13.9" x14ac:dyDescent="0.4">
      <c r="B55" s="3" t="s">
        <v>47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113569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45190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15244</v>
      </c>
      <c r="D70" s="60">
        <v>0.05</v>
      </c>
      <c r="E70" s="112"/>
    </row>
    <row r="71" spans="2:5" ht="13.9" x14ac:dyDescent="0.4">
      <c r="B71" s="3" t="s">
        <v>75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112402</v>
      </c>
      <c r="D72" s="249">
        <v>0</v>
      </c>
      <c r="E72" s="250"/>
    </row>
    <row r="73" spans="2:5" ht="13.9" x14ac:dyDescent="0.4">
      <c r="B73" s="3" t="s">
        <v>39</v>
      </c>
      <c r="C73" s="59">
        <v>510909</v>
      </c>
    </row>
    <row r="74" spans="2:5" ht="13.9" x14ac:dyDescent="0.4">
      <c r="B74" s="3" t="s">
        <v>40</v>
      </c>
      <c r="C74" s="59">
        <v>28807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6712617</v>
      </c>
    </row>
    <row r="78" spans="2:5" ht="14.25" thickTop="1" x14ac:dyDescent="0.4">
      <c r="B78" s="3" t="s">
        <v>62</v>
      </c>
      <c r="C78" s="59">
        <v>756896</v>
      </c>
    </row>
    <row r="79" spans="2:5" ht="13.9" x14ac:dyDescent="0.4">
      <c r="B79" s="3" t="s">
        <v>64</v>
      </c>
      <c r="C79" s="59">
        <v>52067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1852861</v>
      </c>
    </row>
    <row r="83" spans="2:8" ht="14.25" thickTop="1" x14ac:dyDescent="0.4">
      <c r="B83" s="73" t="s">
        <v>222</v>
      </c>
      <c r="C83" s="59">
        <v>25617273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106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249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259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6186.HK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中国飞鹤</v>
      </c>
      <c r="D4" s="278"/>
      <c r="E4" s="87"/>
      <c r="F4" s="3" t="s">
        <v>3</v>
      </c>
      <c r="G4" s="281">
        <f>Inputs!C10</f>
        <v>9067251704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134013.9777639026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0.35166796085418528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4.9554588712228904</v>
      </c>
    </row>
    <row r="24" spans="1:8" ht="15.75" customHeight="1" x14ac:dyDescent="0.4">
      <c r="B24" s="137" t="s">
        <v>171</v>
      </c>
      <c r="C24" s="172">
        <f>Fin_Analysis!I81</f>
        <v>2.7202256703967287E-3</v>
      </c>
      <c r="F24" s="140" t="s">
        <v>176</v>
      </c>
      <c r="G24" s="179">
        <f>(Fin_Analysis!H86*G7)/G3</f>
        <v>2.2599748925710886E-2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0.93286630876064991</v>
      </c>
    </row>
    <row r="26" spans="1:8" ht="15.75" customHeight="1" x14ac:dyDescent="0.4">
      <c r="B26" s="138" t="s">
        <v>174</v>
      </c>
      <c r="C26" s="172">
        <f>Fin_Analysis!I83</f>
        <v>0.2067479536230501</v>
      </c>
      <c r="F26" s="141" t="s">
        <v>195</v>
      </c>
      <c r="G26" s="179">
        <f>Fin_Analysis!H88*Exchange_Rate/G3</f>
        <v>2.1082544359245378E-2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2.5210380413210487</v>
      </c>
      <c r="D29" s="129">
        <f>G29*(1+G20)</f>
        <v>4.7675206445063898</v>
      </c>
      <c r="E29" s="87"/>
      <c r="F29" s="131">
        <f>IF(Fin_Analysis!C108="Profit",Fin_Analysis!F100,IF(Fin_Analysis!C108="Dividend",Fin_Analysis!F103,Fin_Analysis!F106))</f>
        <v>2.9659271074365279</v>
      </c>
      <c r="G29" s="272">
        <f>IF(Fin_Analysis!C108="Profit",Fin_Analysis!I100,IF(Fin_Analysis!C108="Dividend",Fin_Analysis!I103,Fin_Analysis!I106))</f>
        <v>4.1456701256577304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4364015.2804860482</v>
      </c>
      <c r="E6" s="56">
        <f>1-D6/D3</f>
        <v>0.83863102493729691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0.48129415868767284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39</v>
      </c>
      <c r="I11" s="40">
        <f>Inputs!C73</f>
        <v>510909</v>
      </c>
      <c r="J11" s="87"/>
      <c r="K11" s="24"/>
    </row>
    <row r="12" spans="1:11" ht="13.9" x14ac:dyDescent="0.4">
      <c r="B12" s="1" t="s">
        <v>136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40</v>
      </c>
      <c r="I12" s="40">
        <f>Inputs!C74</f>
        <v>28807</v>
      </c>
      <c r="J12" s="87"/>
      <c r="K12" s="24"/>
    </row>
    <row r="13" spans="1:11" ht="13.9" x14ac:dyDescent="0.4">
      <c r="B13" s="3" t="s">
        <v>117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16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756896</v>
      </c>
      <c r="J30" s="87"/>
    </row>
    <row r="31" spans="2:10" ht="15" customHeight="1" x14ac:dyDescent="0.4">
      <c r="B31" s="3" t="s">
        <v>63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64</v>
      </c>
      <c r="I31" s="40">
        <f>Inputs!C79</f>
        <v>52067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08">
        <f>Inputs!C82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4.9554588712228904</v>
      </c>
      <c r="E53" s="88">
        <f>IF(C53=0,0,MAX(C53,C53*Dashboard!G23))</f>
        <v>7068635.0195139525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1358347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96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161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2.2599748925710886E-2</v>
      </c>
      <c r="D87" s="210"/>
      <c r="E87" s="263">
        <f>E86*Exchange_Rate/Dashboard!G3</f>
        <v>2.2599748925710886E-2</v>
      </c>
      <c r="F87" s="210"/>
      <c r="H87" s="263">
        <f>H86*Exchange_Rate/Dashboard!G3</f>
        <v>2.2599748925710886E-2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223</v>
      </c>
      <c r="C89" s="262">
        <f>C88*Exchange_Rate/Dashboard!G3</f>
        <v>2.1082544359245378E-2</v>
      </c>
      <c r="D89" s="210"/>
      <c r="E89" s="262">
        <f>E88*Exchange_Rate/Dashboard!G3</f>
        <v>2.1082544359245378E-2</v>
      </c>
      <c r="F89" s="210"/>
      <c r="H89" s="262">
        <f>H88*Exchange_Rate/Dashboard!G3</f>
        <v>2.1082544359245378E-2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5.1876892450422041</v>
      </c>
      <c r="H93" s="87" t="s">
        <v>211</v>
      </c>
      <c r="I93" s="144">
        <f>FV(H87,D93,0,-(H86/C93))*Exchange_Rate</f>
        <v>5.1876892450422041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4.8036262789076574</v>
      </c>
      <c r="H94" s="87" t="s">
        <v>212</v>
      </c>
      <c r="I94" s="144">
        <f>FV(H89,D93,0,-(H88/C93))*Exchange_Rate</f>
        <v>4.8036262789076574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23386241.110857598</v>
      </c>
      <c r="D97" s="214"/>
      <c r="E97" s="123">
        <f>PV(C94,D93,0,-F93)</f>
        <v>2.5791984025921333</v>
      </c>
      <c r="F97" s="214"/>
      <c r="H97" s="123">
        <f>PV(C94,D93,0,-I93)</f>
        <v>2.5791984025921333</v>
      </c>
      <c r="I97" s="123">
        <f>PV(C93,D93,0,-I93)</f>
        <v>3.6643759669700575</v>
      </c>
      <c r="K97" s="24"/>
    </row>
    <row r="98" spans="2:11" ht="15" customHeight="1" x14ac:dyDescent="0.4">
      <c r="B98" s="28" t="s">
        <v>145</v>
      </c>
      <c r="C98" s="91">
        <f>E53*Exchange_Rate</f>
        <v>7068635.0195139525</v>
      </c>
      <c r="D98" s="214"/>
      <c r="E98" s="214"/>
      <c r="F98" s="214"/>
      <c r="H98" s="123">
        <f>C98*Data!$C$4/Common_Shares</f>
        <v>0.77957855922270669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11432650.300000001</v>
      </c>
      <c r="D99" s="215"/>
      <c r="E99" s="146">
        <f>IF(H99&gt;0,H99*(1-C94),H99*(1+C94))</f>
        <v>1.0717418102238225</v>
      </c>
      <c r="F99" s="215"/>
      <c r="H99" s="146">
        <f>C99*Data!$C$4/Common_Shares</f>
        <v>1.2608727179103796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27750256.391343646</v>
      </c>
      <c r="D100" s="109">
        <f>MIN(F100*(1-C94),E100)</f>
        <v>2.5210380413210487</v>
      </c>
      <c r="E100" s="109">
        <f>MAX(E97-H98+E99,0)</f>
        <v>2.8713616535932491</v>
      </c>
      <c r="F100" s="109">
        <f>(E100+H100)/2</f>
        <v>2.9659271074365279</v>
      </c>
      <c r="H100" s="109">
        <f>MAX(C100*Data!$C$4/Common_Shares,0)</f>
        <v>3.0604925612798062</v>
      </c>
      <c r="I100" s="109">
        <f>MAX(I97-H98+H99,0)</f>
        <v>4.1456701256577304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21654875.043324273</v>
      </c>
      <c r="D103" s="109">
        <f>MIN(F103*(1-C94),E103)</f>
        <v>2.0300135462993243</v>
      </c>
      <c r="E103" s="123">
        <f>PV(C94,D93,0,-F94)</f>
        <v>2.3882512309403814</v>
      </c>
      <c r="F103" s="109">
        <f>(E103+H103)/2</f>
        <v>2.3882512309403814</v>
      </c>
      <c r="H103" s="123">
        <f>PV(C94,D93,0,-I94)</f>
        <v>2.3882512309403814</v>
      </c>
      <c r="I103" s="109">
        <f>PV(C93,D93,0,-I94)</f>
        <v>3.3930892656219278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23845116.94483396</v>
      </c>
      <c r="D106" s="109">
        <f>(D100+D103)/2</f>
        <v>2.2755257938101865</v>
      </c>
      <c r="E106" s="123">
        <f>(E100+E103)/2</f>
        <v>2.6298064422668155</v>
      </c>
      <c r="F106" s="109">
        <f>(F100+F103)/2</f>
        <v>2.6770891691884549</v>
      </c>
      <c r="H106" s="123">
        <f>(H100+H103)/2</f>
        <v>2.7243718961100938</v>
      </c>
      <c r="I106" s="123">
        <f>(I100+I103)/2</f>
        <v>3.7693796956398291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