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D249C0E-9A3B-4880-8B6E-25CD8ADAF12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5" i="4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<sst xmlns="http://schemas.openxmlformats.org/spreadsheetml/2006/main" count="390" uniqueCount="267">
  <si>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</si>
  <si>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</si>
  <si>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</si>
  <si>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</si>
  <si>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</si>
  <si>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</si>
  <si>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</si>
  <si>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</si>
  <si>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</si>
  <si>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</si>
  <si>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</si>
  <si>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</si>
  <si>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</si>
  <si>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</si>
  <si>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</si>
  <si>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</si>
  <si>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</si>
  <si>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</si>
  <si>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</si>
  <si>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</si>
  <si>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</si>
  <si>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</si>
  <si>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</si>
  <si>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</si>
  <si>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</si>
  <si>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</si>
  <si>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</si>
  <si>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</si>
  <si>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</si>
  <si>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</si>
  <si>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</si>
  <si>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</si>
  <si>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</si>
  <si>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</si>
  <si>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</si>
  <si>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</si>
  <si>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</si>
  <si>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</si>
  <si>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</si>
  <si>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</si>
  <si>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</si>
  <si>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</si>
  <si>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</si>
  <si>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</si>
  <si>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</si>
  <si>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</si>
  <si>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</si>
  <si>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</si>
  <si>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</si>
  <si>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</si>
  <si>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</si>
  <si>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</si>
  <si>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</si>
  <si>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</si>
  <si>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</si>
  <si>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</si>
  <si>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</si>
  <si>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</si>
  <si>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</si>
  <si>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</si>
  <si>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</si>
  <si>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</si>
  <si>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</si>
  <si>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</si>
  <si>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</si>
  <si>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</si>
  <si>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</si>
  <si>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</si>
  <si>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</si>
  <si>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</si>
  <si>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</si>
  <si>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</si>
  <si>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</si>
  <si>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</si>
  <si>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</si>
  <si>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</si>
  <si>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</si>
  <si>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</si>
  <si>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</si>
  <si>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</si>
  <si>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</si>
  <si>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</si>
  <si>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</si>
  <si>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</si>
  <si>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</si>
  <si>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</si>
  <si>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</si>
  <si>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</si>
  <si>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</si>
  <si>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</si>
  <si>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</si>
  <si>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</si>
  <si>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</si>
  <si>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</si>
  <si>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</si>
  <si>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</si>
  <si>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</si>
  <si>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</si>
  <si>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</si>
  <si>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</si>
  <si>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</si>
  <si>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</si>
  <si>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</si>
  <si>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</si>
  <si>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</si>
  <si>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</si>
  <si>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</si>
  <si>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</si>
  <si>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</si>
  <si>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</si>
  <si>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</si>
  <si>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</si>
  <si>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</si>
  <si>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</si>
  <si>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</si>
  <si>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</si>
  <si>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</si>
  <si>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</si>
  <si>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</si>
  <si>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</si>
  <si>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</si>
  <si>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</si>
  <si>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</si>
  <si>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</si>
  <si>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</si>
  <si>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</si>
  <si>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</si>
  <si>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</si>
  <si>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</si>
  <si>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</si>
  <si>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</si>
  <si>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</si>
  <si>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</si>
  <si>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</si>
  <si>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</si>
  <si>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</si>
  <si>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</si>
  <si>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</si>
  <si>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</si>
  <si>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</si>
  <si>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</si>
  <si>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</si>
  <si>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</si>
  <si>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</si>
  <si>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</si>
  <si>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</si>
  <si>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</si>
  <si>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</si>
  <si>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</si>
  <si>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</si>
  <si>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</si>
  <si>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</si>
  <si>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</si>
  <si>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</si>
  <si>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</si>
  <si>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</si>
  <si>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</si>
  <si>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</si>
  <si>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</si>
  <si>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</si>
  <si>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</si>
  <si>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</si>
  <si>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</si>
  <si>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</si>
  <si>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</si>
  <si>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</si>
  <si>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</si>
  <si>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</si>
  <si>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</si>
  <si>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</si>
  <si>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</si>
  <si>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</si>
  <si>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</si>
  <si>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</si>
  <si>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</si>
  <si>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</si>
  <si>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</si>
  <si>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</si>
  <si>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</si>
  <si>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</si>
  <si>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</si>
  <si>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</si>
  <si>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</si>
  <si>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</si>
  <si>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</si>
  <si>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</si>
  <si>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</si>
  <si>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</si>
  <si>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</si>
  <si>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</si>
  <si>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</si>
  <si>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</si>
  <si>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</si>
  <si>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</si>
  <si>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</si>
  <si>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</si>
  <si>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</si>
  <si>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</si>
  <si>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</si>
  <si>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</si>
  <si>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</si>
  <si>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</si>
  <si>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</si>
  <si>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</si>
  <si>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</si>
  <si>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</si>
  <si>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</si>
  <si>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</si>
  <si>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</si>
  <si>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</si>
  <si>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</si>
  <si>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</si>
  <si>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</si>
  <si>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</si>
  <si>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</si>
  <si>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</si>
  <si>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</si>
  <si>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</si>
  <si>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</si>
  <si>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</si>
  <si>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</si>
  <si>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</si>
  <si>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</si>
  <si>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</si>
  <si>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</si>
  <si>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</si>
  <si>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</si>
  <si>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</si>
  <si>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</si>
  <si>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</si>
  <si>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</si>
  <si>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</si>
  <si>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</si>
  <si>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</si>
  <si>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</si>
  <si>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</si>
  <si>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</si>
  <si>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</si>
  <si>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</si>
  <si>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</si>
  <si>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</si>
  <si>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</si>
  <si>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</si>
  <si>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</si>
  <si>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</si>
  <si>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</si>
  <si>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</si>
  <si>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</si>
  <si>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</si>
  <si>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</si>
  <si>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</si>
  <si>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</si>
  <si>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</si>
  <si>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</si>
  <si>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</si>
  <si>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</si>
  <si>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</si>
  <si>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</si>
  <si>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</si>
  <si>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</si>
  <si>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</si>
  <si>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6601.HK</t>
  </si>
  <si>
    <t>朝云集团</t>
  </si>
  <si>
    <t>C0007</t>
  </si>
  <si>
    <t>CNY</t>
  </si>
  <si>
    <t>CN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</si>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</sst>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261</v>
      </c>
    </row>
    <row r="5" spans="1:5" ht="13.9" x14ac:dyDescent="0.4">
      <c r="B5" s="141" t="s">
        <v>197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263</v>
      </c>
    </row>
    <row r="10" spans="1:5" ht="13.9" x14ac:dyDescent="0.4">
      <c r="B10" s="140" t="s">
        <v>219</v>
      </c>
      <c r="C10" s="194">
        <v>1333333500</v>
      </c>
    </row>
    <row r="11" spans="1:5" ht="13.9" x14ac:dyDescent="0.4">
      <c r="B11" s="140" t="s">
        <v>220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257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247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247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1615585</v>
      </c>
      <c r="D25" s="150">
        <v>1446638</v>
      </c>
      <c r="E25" s="150">
        <v>1769157</v>
      </c>
      <c r="F25" s="150">
        <v>1702154</v>
      </c>
      <c r="G25" s="150">
        <v>1383402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897327</v>
      </c>
      <c r="D26" s="151">
        <v>845264</v>
      </c>
      <c r="E26" s="151">
        <v>981731</v>
      </c>
      <c r="F26" s="151">
        <v>959572</v>
      </c>
      <c r="G26" s="151">
        <v>783542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613104</v>
      </c>
      <c r="D27" s="151">
        <v>599182</v>
      </c>
      <c r="E27" s="151">
        <v>705390</v>
      </c>
      <c r="F27" s="151">
        <v>456610</v>
      </c>
      <c r="G27" s="151">
        <v>396643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1003</v>
      </c>
      <c r="D29" s="151">
        <v>863</v>
      </c>
      <c r="E29" s="151">
        <v>1613</v>
      </c>
      <c r="F29" s="151">
        <v>2645</v>
      </c>
      <c r="G29" s="151">
        <v>299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734909</v>
      </c>
      <c r="E37" s="151">
        <v>677999</v>
      </c>
      <c r="F37" s="151">
        <v>1352795</v>
      </c>
      <c r="G37" s="151">
        <v>1205068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18682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6202</v>
      </c>
      <c r="E39" s="151">
        <v>5517</v>
      </c>
      <c r="F39" s="151">
        <v>301783</v>
      </c>
      <c r="G39" s="151">
        <v>3225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10412</v>
      </c>
      <c r="E40" s="151">
        <v>9392</v>
      </c>
      <c r="F40" s="151">
        <v>5096</v>
      </c>
      <c r="G40" s="151">
        <v>6880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2824568</v>
      </c>
      <c r="E41" s="151">
        <v>2735259</v>
      </c>
      <c r="F41" s="151">
        <v>250534</v>
      </c>
      <c r="G41" s="151">
        <v>13930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7297</v>
      </c>
      <c r="E42" s="151">
        <v>1498</v>
      </c>
      <c r="F42" s="151">
        <v>2853</v>
      </c>
      <c r="G42" s="151">
        <v>696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0.1178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7.9702301845927647E-3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2385307</v>
      </c>
      <c r="D48" s="60">
        <v>0.9</v>
      </c>
      <c r="E48" s="112"/>
    </row>
    <row r="49" spans="2:5" ht="13.9" x14ac:dyDescent="0.4">
      <c r="B49" s="1" t="s">
        <v>136</v>
      </c>
      <c r="C49" s="59">
        <v>0</v>
      </c>
      <c r="D49" s="60">
        <v>0.8</v>
      </c>
      <c r="E49" s="112"/>
    </row>
    <row r="50" spans="2:5" ht="13.9" x14ac:dyDescent="0.4">
      <c r="B50" s="3" t="s">
        <v>117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0</v>
      </c>
      <c r="D51" s="60">
        <v>0.6</v>
      </c>
      <c r="E51" s="112"/>
    </row>
    <row r="52" spans="2:5" ht="13.9" x14ac:dyDescent="0.4">
      <c r="B52" s="3" t="s">
        <v>44</v>
      </c>
      <c r="C52" s="59">
        <v>253051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0</v>
      </c>
      <c r="D64" s="60">
        <v>0.4</v>
      </c>
      <c r="E64" s="112"/>
    </row>
    <row r="65" spans="2:5" ht="13.9" x14ac:dyDescent="0.4">
      <c r="B65" s="3" t="s">
        <v>70</v>
      </c>
      <c r="C65" s="59">
        <v>1500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9704</v>
      </c>
      <c r="D70" s="60">
        <v>0.05</v>
      </c>
      <c r="E70" s="112"/>
    </row>
    <row r="71" spans="2:5" ht="13.9" x14ac:dyDescent="0.4">
      <c r="B71" s="3" t="s">
        <v>75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13416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611931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20583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30946</v>
      </c>
    </row>
    <row r="83" spans="2:8" ht="14.25" thickTop="1" x14ac:dyDescent="0.4">
      <c r="B83" s="73" t="s">
        <v>222</v>
      </c>
      <c r="C83" s="59">
        <v>3023302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1615585</v>
      </c>
      <c r="D91" s="210"/>
      <c r="E91" s="252">
        <f>C91</f>
        <v>1615585</v>
      </c>
      <c r="F91" s="252">
        <f>C91</f>
        <v>1615585</v>
      </c>
    </row>
    <row r="92" spans="2:8" ht="13.9" x14ac:dyDescent="0.4">
      <c r="B92" s="104" t="s">
        <v>106</v>
      </c>
      <c r="C92" s="77">
        <f>C26</f>
        <v>897327</v>
      </c>
      <c r="D92" s="160">
        <f>C92/C91</f>
        <v>0.55541924442229906</v>
      </c>
      <c r="E92" s="253">
        <f>E91*D92</f>
        <v>897327</v>
      </c>
      <c r="F92" s="253">
        <f>F91*D92</f>
        <v>897327</v>
      </c>
    </row>
    <row r="93" spans="2:8" ht="13.9" x14ac:dyDescent="0.4">
      <c r="B93" s="104" t="s">
        <v>249</v>
      </c>
      <c r="C93" s="77">
        <f>C27+C28</f>
        <v>613104</v>
      </c>
      <c r="D93" s="160">
        <f>C93/C91</f>
        <v>0.37949349616392825</v>
      </c>
      <c r="E93" s="253">
        <f>E91*D93</f>
        <v>613104</v>
      </c>
      <c r="F93" s="253">
        <f>F91*D93</f>
        <v>613104</v>
      </c>
    </row>
    <row r="94" spans="2:8" ht="13.9" x14ac:dyDescent="0.4">
      <c r="B94" s="104" t="s">
        <v>258</v>
      </c>
      <c r="C94" s="77">
        <f>C29</f>
        <v>1003</v>
      </c>
      <c r="D94" s="160">
        <f>C94/C91</f>
        <v>6.208277497005729E-4</v>
      </c>
      <c r="E94" s="254"/>
      <c r="F94" s="253">
        <f>F91*D94</f>
        <v>1003.0000000000001</v>
      </c>
    </row>
    <row r="95" spans="2:8" ht="13.9" x14ac:dyDescent="0.4">
      <c r="B95" s="28" t="s">
        <v>248</v>
      </c>
      <c r="C95" s="77">
        <f>ABS(MAX(C33,0)-C32)</f>
        <v>20662</v>
      </c>
      <c r="D95" s="160">
        <f>C95/C91</f>
        <v>1.2789175437999239E-2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2932</v>
      </c>
      <c r="D97" s="160">
        <f>C97/C91</f>
        <v>1.8148224946381651E-3</v>
      </c>
      <c r="E97" s="254"/>
      <c r="F97" s="253">
        <f>F91*D97</f>
        <v>2932</v>
      </c>
    </row>
    <row r="98" spans="2:7" ht="13.9" x14ac:dyDescent="0.4">
      <c r="B98" s="86" t="s">
        <v>209</v>
      </c>
      <c r="C98" s="238">
        <f>C44</f>
        <v>0.1178</v>
      </c>
      <c r="D98" s="267"/>
      <c r="E98" s="255">
        <f>F98</f>
        <v>0.1178</v>
      </c>
      <c r="F98" s="255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6601.HK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朝云集团</v>
      </c>
      <c r="D4" s="278"/>
      <c r="E4" s="87"/>
      <c r="F4" s="3" t="s">
        <v>3</v>
      </c>
      <c r="G4" s="281">
        <f>Inputs!C10</f>
        <v>1333333500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19706.668773961545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0.55541924442229906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0.37949349616392825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1.8148224946381651E-3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6.5096689628755815</v>
      </c>
    </row>
    <row r="24" spans="1:8" ht="15.75" customHeight="1" x14ac:dyDescent="0.4">
      <c r="B24" s="137" t="s">
        <v>171</v>
      </c>
      <c r="C24" s="172">
        <f>Fin_Analysis!I81</f>
        <v>6.208277497005729E-4</v>
      </c>
      <c r="F24" s="140" t="s">
        <v>176</v>
      </c>
      <c r="G24" s="179">
        <f>(Fin_Analysis!H86*G7)/G3</f>
        <v>3.0658530212792777E-3</v>
      </c>
    </row>
    <row r="25" spans="1:8" ht="15.75" customHeight="1" x14ac:dyDescent="0.4">
      <c r="B25" s="137" t="s">
        <v>245</v>
      </c>
      <c r="C25" s="172">
        <f>Fin_Analysis!I82</f>
        <v>1.2789175437999239E-2</v>
      </c>
      <c r="F25" s="140" t="s">
        <v>175</v>
      </c>
      <c r="G25" s="172">
        <f>Fin_Analysis!I88</f>
        <v>2.5996778479834153</v>
      </c>
    </row>
    <row r="26" spans="1:8" ht="15.75" customHeight="1" x14ac:dyDescent="0.4">
      <c r="B26" s="138" t="s">
        <v>174</v>
      </c>
      <c r="C26" s="172">
        <f>Fin_Analysis!I83</f>
        <v>4.9862433731434744E-2</v>
      </c>
      <c r="F26" s="141" t="s">
        <v>195</v>
      </c>
      <c r="G26" s="179">
        <f>Fin_Analysis!H88*Exchange_Rate/G3</f>
        <v>7.9702301845927647E-3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259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1.0724975619177752</v>
      </c>
      <c r="D29" s="129">
        <f>G29*(1+G20)</f>
        <v>1.7969394993743084</v>
      </c>
      <c r="E29" s="87"/>
      <c r="F29" s="131">
        <f>IF(Fin_Analysis!C108="Profit",Fin_Analysis!F100,IF(Fin_Analysis!C108="Dividend",Fin_Analysis!F103,Fin_Analysis!F106))</f>
        <v>1.2617618375503241</v>
      </c>
      <c r="G29" s="272">
        <f>IF(Fin_Analysis!C108="Profit",Fin_Analysis!I100,IF(Fin_Analysis!C108="Dividend",Fin_Analysis!I103,Fin_Analysis!I106))</f>
        <v>1.5625560864124421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1615585</v>
      </c>
      <c r="D6" s="201">
        <f>IF(Inputs!D25="","",Inputs!D25)</f>
        <v>1446638</v>
      </c>
      <c r="E6" s="201">
        <f>IF(Inputs!E25="","",Inputs!E25)</f>
        <v>1769157</v>
      </c>
      <c r="F6" s="201">
        <f>IF(Inputs!F25="","",Inputs!F25)</f>
        <v>1702154</v>
      </c>
      <c r="G6" s="201">
        <f>IF(Inputs!G25="","",Inputs!G25)</f>
        <v>1383402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897327</v>
      </c>
      <c r="D8" s="200">
        <f>IF(Inputs!D26="","",Inputs!D26)</f>
        <v>845264</v>
      </c>
      <c r="E8" s="200">
        <f>IF(Inputs!E26="","",Inputs!E26)</f>
        <v>981731</v>
      </c>
      <c r="F8" s="200">
        <f>IF(Inputs!F26="","",Inputs!F26)</f>
        <v>959572</v>
      </c>
      <c r="G8" s="200">
        <f>IF(Inputs!G26="","",Inputs!G26)</f>
        <v>783542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718258</v>
      </c>
      <c r="D9" s="152">
        <f t="shared" si="2"/>
        <v>601374</v>
      </c>
      <c r="E9" s="152">
        <f t="shared" si="2"/>
        <v>787426</v>
      </c>
      <c r="F9" s="152">
        <f t="shared" si="2"/>
        <v>742582</v>
      </c>
      <c r="G9" s="152">
        <f t="shared" si="2"/>
        <v>599860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613104</v>
      </c>
      <c r="D10" s="200">
        <f>IF(Inputs!D27="","",Inputs!D27)</f>
        <v>599182</v>
      </c>
      <c r="E10" s="200">
        <f>IF(Inputs!E27="","",Inputs!E27)</f>
        <v>705390</v>
      </c>
      <c r="F10" s="200">
        <f>IF(Inputs!F27="","",Inputs!F27)</f>
        <v>456610</v>
      </c>
      <c r="G10" s="200">
        <f>IF(Inputs!G27="","",Inputs!G27)</f>
        <v>396643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6.3272436919134561E-2</v>
      </c>
      <c r="D13" s="230">
        <f t="shared" si="3"/>
        <v>9.2075557257586215E-4</v>
      </c>
      <c r="E13" s="230">
        <f t="shared" si="3"/>
        <v>4.6370107344910601E-2</v>
      </c>
      <c r="F13" s="230">
        <f t="shared" si="3"/>
        <v>0.16800595010792208</v>
      </c>
      <c r="G13" s="230">
        <f t="shared" si="3"/>
        <v>0.14689656368864581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102222</v>
      </c>
      <c r="D14" s="231">
        <f t="shared" ref="D14:M14" si="4">IF(D6="","",D9-D10-MAX(D11,0)-MAX(D12,0))</f>
        <v>1332</v>
      </c>
      <c r="E14" s="231">
        <f t="shared" si="4"/>
        <v>82036</v>
      </c>
      <c r="F14" s="231">
        <f t="shared" si="4"/>
        <v>285972</v>
      </c>
      <c r="G14" s="231">
        <f t="shared" si="4"/>
        <v>203217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75.743243243243242</v>
      </c>
      <c r="D15" s="233">
        <f t="shared" ref="D15:M15" si="5">IF(E14="","",IF(ABS(D14+E14)=ABS(D14)+ABS(E14),IF(D14&lt;0,-1,1)*(D14-E14)/E14,"Turn"))</f>
        <v>-0.98376322590082399</v>
      </c>
      <c r="E15" s="233">
        <f t="shared" si="5"/>
        <v>-0.71313275425566136</v>
      </c>
      <c r="F15" s="233">
        <f t="shared" si="5"/>
        <v>0.40722478926467764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1003</v>
      </c>
      <c r="D17" s="200">
        <f>IF(Inputs!D29="","",Inputs!D29)</f>
        <v>863</v>
      </c>
      <c r="E17" s="200">
        <f>IF(Inputs!E29="","",Inputs!E29)</f>
        <v>1613</v>
      </c>
      <c r="F17" s="200">
        <f>IF(Inputs!F29="","",Inputs!F29)</f>
        <v>2645</v>
      </c>
      <c r="G17" s="200">
        <f>IF(Inputs!G29="","",Inputs!G29)</f>
        <v>299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2.2266856897037297E-2</v>
      </c>
      <c r="D18" s="153">
        <f t="shared" si="6"/>
        <v>2.2193527337177648E-2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9.4776814590380575E-3</v>
      </c>
      <c r="D20" s="153">
        <f t="shared" si="7"/>
        <v>8.0185920734834829E-3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80557</v>
      </c>
      <c r="D22" s="162">
        <f t="shared" ref="D22:M22" si="8">IF(D6="","",D14-MAX(D16,0)-MAX(D17,0)-ABS(MAX(D21,0)-MAX(D19,0)))</f>
        <v>-20037</v>
      </c>
      <c r="E22" s="162">
        <f t="shared" si="8"/>
        <v>80423</v>
      </c>
      <c r="F22" s="162">
        <f t="shared" si="8"/>
        <v>283327</v>
      </c>
      <c r="G22" s="162">
        <f t="shared" si="8"/>
        <v>202918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3.7396825298576054E-2</v>
      </c>
      <c r="D23" s="154">
        <f t="shared" si="9"/>
        <v>-1.0388051468300985E-2</v>
      </c>
      <c r="E23" s="154">
        <f t="shared" si="9"/>
        <v>3.4093780258055109E-2</v>
      </c>
      <c r="F23" s="154">
        <f t="shared" si="9"/>
        <v>0.12483902749104958</v>
      </c>
      <c r="G23" s="154">
        <f t="shared" si="9"/>
        <v>0.11001032237917828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-0.71614777271491947</v>
      </c>
      <c r="F25" s="234">
        <f t="shared" si="10"/>
        <v>0.3962635153116037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2983374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180994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158110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611931</v>
      </c>
      <c r="D31" s="200">
        <f>IF(Inputs!D37="","",Inputs!D37)</f>
        <v>734909</v>
      </c>
      <c r="E31" s="200">
        <f>IF(Inputs!E37="","",Inputs!E37)</f>
        <v>677999</v>
      </c>
      <c r="F31" s="200">
        <f>IF(Inputs!F37="","",Inputs!F37)</f>
        <v>1352795</v>
      </c>
      <c r="G31" s="200">
        <f>IF(Inputs!G37="","",Inputs!G37)</f>
        <v>1205068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30946</v>
      </c>
      <c r="D32" s="200">
        <f>IF(Inputs!D38="","",Inputs!D38)</f>
        <v>18682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13416</v>
      </c>
      <c r="D33" s="200">
        <f>IF(Inputs!D39="","",Inputs!D39)</f>
        <v>6202</v>
      </c>
      <c r="E33" s="200">
        <f>IF(Inputs!E39="","",Inputs!E39)</f>
        <v>5517</v>
      </c>
      <c r="F33" s="200">
        <f>IF(Inputs!F39="","",Inputs!F39)</f>
        <v>301783</v>
      </c>
      <c r="G33" s="200">
        <f>IF(Inputs!G39="","",Inputs!G39)</f>
        <v>3225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20583</v>
      </c>
      <c r="D34" s="200">
        <f>IF(Inputs!D40="","",Inputs!D40)</f>
        <v>10412</v>
      </c>
      <c r="E34" s="200">
        <f>IF(Inputs!E40="","",Inputs!E40)</f>
        <v>9392</v>
      </c>
      <c r="F34" s="200">
        <f>IF(Inputs!F40="","",Inputs!F40)</f>
        <v>5096</v>
      </c>
      <c r="G34" s="200">
        <f>IF(Inputs!G40="","",Inputs!G40)</f>
        <v>6880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3027292</v>
      </c>
      <c r="D36" s="200">
        <f>IF(Inputs!D41="","",Inputs!D41)</f>
        <v>2824568</v>
      </c>
      <c r="E36" s="200">
        <f>IF(Inputs!E41="","",Inputs!E41)</f>
        <v>2735259</v>
      </c>
      <c r="F36" s="200">
        <f>IF(Inputs!F41="","",Inputs!F41)</f>
        <v>250534</v>
      </c>
      <c r="G36" s="200">
        <f>IF(Inputs!G41="","",Inputs!G41)</f>
        <v>13930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3990</v>
      </c>
      <c r="D37" s="200">
        <f>IF(Inputs!D42="","",Inputs!D42)</f>
        <v>7297</v>
      </c>
      <c r="E37" s="200">
        <f>IF(Inputs!E42="","",Inputs!E42)</f>
        <v>1498</v>
      </c>
      <c r="F37" s="200">
        <f>IF(Inputs!F42="","",Inputs!F42)</f>
        <v>2853</v>
      </c>
      <c r="G37" s="200">
        <f>IF(Inputs!G42="","",Inputs!G42)</f>
        <v>696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3045410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0.16361829121309177</v>
      </c>
      <c r="D40" s="156">
        <f>IF(D6="","",D14/MAX(D39,0))</f>
        <v>1.8773308076750696E-3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0.55541924442229906</v>
      </c>
      <c r="D42" s="157">
        <f t="shared" si="34"/>
        <v>0.5842954491724951</v>
      </c>
      <c r="E42" s="157">
        <f t="shared" si="34"/>
        <v>0.55491457230760188</v>
      </c>
      <c r="F42" s="157">
        <f t="shared" si="34"/>
        <v>0.56373982612619067</v>
      </c>
      <c r="G42" s="157">
        <f t="shared" si="34"/>
        <v>0.56638778894348862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0.37949349616392825</v>
      </c>
      <c r="D43" s="154">
        <f t="shared" si="35"/>
        <v>0.41418931342879145</v>
      </c>
      <c r="E43" s="154">
        <f t="shared" si="35"/>
        <v>0.39871532034748752</v>
      </c>
      <c r="F43" s="154">
        <f t="shared" si="35"/>
        <v>0.2682542237658872</v>
      </c>
      <c r="G43" s="154">
        <f t="shared" si="35"/>
        <v>0.28671564736786559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6.208277497005729E-4</v>
      </c>
      <c r="D45" s="154">
        <f t="shared" si="37"/>
        <v>5.9655559994967644E-4</v>
      </c>
      <c r="E45" s="154">
        <f t="shared" si="37"/>
        <v>9.1173366750378854E-4</v>
      </c>
      <c r="F45" s="154">
        <f t="shared" si="37"/>
        <v>1.5539134531893119E-3</v>
      </c>
      <c r="G45" s="154">
        <f t="shared" si="37"/>
        <v>2.1613384974143452E-4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1.8148224946381651E-3</v>
      </c>
      <c r="D46" s="154">
        <f t="shared" ref="D46:M46" si="38">IF(D6="","",MAX(D12,0)/D6)</f>
        <v>5.9448182613756862E-4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1.2789175437999239E-2</v>
      </c>
      <c r="D47" s="154">
        <f t="shared" ref="D47:M47" si="39">IF(D6="","",ABS(MAX(D21,0)-MAX(D19,0))/D6)</f>
        <v>1.4174935263694165E-2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4.9862433731434744E-2</v>
      </c>
      <c r="D48" s="154">
        <f t="shared" si="40"/>
        <v>-1.385073529106798E-2</v>
      </c>
      <c r="E48" s="154">
        <f t="shared" si="40"/>
        <v>4.5458373677406808E-2</v>
      </c>
      <c r="F48" s="154">
        <f t="shared" si="40"/>
        <v>0.16645203665473277</v>
      </c>
      <c r="G48" s="154">
        <f t="shared" si="40"/>
        <v>0.14668042983890439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0.11203000770618693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9.7865479067953717E-2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0.1751627786077426</v>
      </c>
      <c r="D53" s="157">
        <f t="shared" ref="D53:M53" si="43">IF(D36="","",(D27-D36)/D27)</f>
        <v>0.21060858391144721</v>
      </c>
      <c r="E53" s="157">
        <f t="shared" si="43"/>
        <v>0.21276976631405353</v>
      </c>
      <c r="F53" s="157">
        <f t="shared" si="43"/>
        <v>0.84857949978181479</v>
      </c>
      <c r="G53" s="157">
        <f t="shared" si="43"/>
        <v>0.98878596160178012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2.369393217447572</v>
      </c>
      <c r="D54" s="158">
        <f t="shared" si="44"/>
        <v>-1.2060310581437341</v>
      </c>
      <c r="E54" s="158">
        <f t="shared" si="44"/>
        <v>5.3942585015762292</v>
      </c>
      <c r="F54" s="158">
        <f t="shared" si="44"/>
        <v>0.92325313885928983</v>
      </c>
      <c r="G54" s="158">
        <f t="shared" si="44"/>
        <v>20.080950024740229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1.2450811226833175E-2</v>
      </c>
      <c r="D55" s="154">
        <f t="shared" si="45"/>
        <v>-4.3070319908169882E-2</v>
      </c>
      <c r="E55" s="154">
        <f t="shared" si="45"/>
        <v>2.0056451512626985E-2</v>
      </c>
      <c r="F55" s="154">
        <f t="shared" si="45"/>
        <v>9.3355027935918562E-3</v>
      </c>
      <c r="G55" s="154">
        <f t="shared" si="45"/>
        <v>1.4735016114883846E-3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4.8753437887604978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3023302</v>
      </c>
      <c r="K3" s="24"/>
    </row>
    <row r="4" spans="1:11" ht="15" customHeight="1" x14ac:dyDescent="0.4">
      <c r="B4" s="3" t="s">
        <v>25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4.8753437887604978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1961637.9208381264</v>
      </c>
      <c r="E6" s="56">
        <f>1-D6/D3</f>
        <v>0.35201562292698341</v>
      </c>
      <c r="F6" s="87"/>
      <c r="G6" s="87"/>
      <c r="H6" s="1" t="s">
        <v>30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1.4712282567250627</v>
      </c>
      <c r="E7" s="11" t="str">
        <f>Dashboard!H3</f>
        <v>HKD</v>
      </c>
      <c r="H7" s="1" t="s">
        <v>31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2385307</v>
      </c>
      <c r="D11" s="199">
        <f>Inputs!D48</f>
        <v>0.9</v>
      </c>
      <c r="E11" s="88">
        <f t="shared" ref="E11:E22" si="0">C11*D11</f>
        <v>2146776.3000000003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13416</v>
      </c>
      <c r="J12" s="87"/>
      <c r="K12" s="24"/>
    </row>
    <row r="13" spans="1:11" ht="13.9" x14ac:dyDescent="0.4">
      <c r="B13" s="3" t="s">
        <v>117</v>
      </c>
      <c r="C13" s="40">
        <f>Inputs!C50</f>
        <v>180994</v>
      </c>
      <c r="D13" s="199">
        <f>Inputs!D50</f>
        <v>0.6</v>
      </c>
      <c r="E13" s="88">
        <f t="shared" si="0"/>
        <v>108596.4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253051</v>
      </c>
      <c r="D15" s="199">
        <f>Inputs!D52</f>
        <v>0.5</v>
      </c>
      <c r="E15" s="88">
        <f t="shared" si="0"/>
        <v>126525.5</v>
      </c>
      <c r="F15" s="112"/>
      <c r="G15" s="87"/>
      <c r="H15" s="1" t="s">
        <v>54</v>
      </c>
      <c r="I15" s="84">
        <f>SUM(I11:I14)</f>
        <v>13416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158110</v>
      </c>
      <c r="D18" s="199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5912</v>
      </c>
      <c r="D21" s="199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55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56</v>
      </c>
      <c r="I25" s="63">
        <f>E28/I28</f>
        <v>4.0303138752571774</v>
      </c>
    </row>
    <row r="26" spans="2:10" ht="15" customHeight="1" x14ac:dyDescent="0.4">
      <c r="B26" s="23" t="s">
        <v>57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58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60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16</v>
      </c>
      <c r="I28" s="207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279425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126127</v>
      </c>
      <c r="D31" s="199">
        <f>Inputs!D61</f>
        <v>0.6</v>
      </c>
      <c r="E31" s="88">
        <f t="shared" ref="E31:E42" si="1">C31*D31</f>
        <v>75676.2</v>
      </c>
      <c r="F31" s="112"/>
      <c r="G31" s="87"/>
      <c r="H31" s="3" t="s">
        <v>64</v>
      </c>
      <c r="I31" s="40">
        <f>Inputs!C79</f>
        <v>20583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20583</v>
      </c>
      <c r="J34" s="87"/>
    </row>
    <row r="35" spans="2:10" ht="13.9" x14ac:dyDescent="0.4">
      <c r="B35" s="3" t="s">
        <v>70</v>
      </c>
      <c r="C35" s="40">
        <f>Inputs!C65</f>
        <v>1500</v>
      </c>
      <c r="D35" s="199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193915</v>
      </c>
      <c r="D38" s="199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9704</v>
      </c>
      <c r="D40" s="199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76124</v>
      </c>
      <c r="D41" s="199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81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83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85</v>
      </c>
      <c r="I48" s="208">
        <f>Inputs!C82</f>
        <v>30946</v>
      </c>
      <c r="J48" s="8"/>
    </row>
    <row r="49" spans="2:11" ht="15" customHeight="1" thickTop="1" x14ac:dyDescent="0.4">
      <c r="B49" s="3" t="s">
        <v>14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86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3990</v>
      </c>
      <c r="D53" s="29">
        <f>IF(E53=0, 0,E53/C53)</f>
        <v>6.5096689628755815</v>
      </c>
      <c r="E53" s="88">
        <f>IF(C53=0,0,MAX(C53,C53*Dashboard!G23))</f>
        <v>25973.579161873571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33999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1615585</v>
      </c>
      <c r="D74" s="210"/>
      <c r="E74" s="239">
        <f>Inputs!E91</f>
        <v>1615585</v>
      </c>
      <c r="F74" s="210"/>
      <c r="H74" s="239">
        <f>Inputs!F91</f>
        <v>1615585</v>
      </c>
      <c r="I74" s="210"/>
      <c r="K74" s="24"/>
    </row>
    <row r="75" spans="1:11" ht="15" customHeight="1" x14ac:dyDescent="0.4">
      <c r="B75" s="104" t="s">
        <v>106</v>
      </c>
      <c r="C75" s="77">
        <f>Data!C8</f>
        <v>897327</v>
      </c>
      <c r="D75" s="160">
        <f>C75/$C$74</f>
        <v>0.55541924442229906</v>
      </c>
      <c r="E75" s="239">
        <f>Inputs!E92</f>
        <v>897327</v>
      </c>
      <c r="F75" s="161">
        <f>E75/E74</f>
        <v>0.55541924442229906</v>
      </c>
      <c r="H75" s="239">
        <f>Inputs!F92</f>
        <v>897327</v>
      </c>
      <c r="I75" s="161">
        <f>H75/$H$74</f>
        <v>0.55541924442229906</v>
      </c>
      <c r="K75" s="24"/>
    </row>
    <row r="76" spans="1:11" ht="15" customHeight="1" x14ac:dyDescent="0.4">
      <c r="B76" s="35" t="s">
        <v>96</v>
      </c>
      <c r="C76" s="162">
        <f>C74-C75</f>
        <v>718258</v>
      </c>
      <c r="D76" s="211"/>
      <c r="E76" s="163">
        <f>E74-E75</f>
        <v>718258</v>
      </c>
      <c r="F76" s="211"/>
      <c r="H76" s="163">
        <f>H74-H75</f>
        <v>718258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613104</v>
      </c>
      <c r="D77" s="160">
        <f>C77/$C$74</f>
        <v>0.37949349616392825</v>
      </c>
      <c r="E77" s="239">
        <f>Inputs!E93</f>
        <v>613104</v>
      </c>
      <c r="F77" s="161">
        <f>E77/E74</f>
        <v>0.37949349616392825</v>
      </c>
      <c r="H77" s="239">
        <f>Inputs!F93</f>
        <v>613104</v>
      </c>
      <c r="I77" s="161">
        <f>H77/$H$74</f>
        <v>0.37949349616392825</v>
      </c>
      <c r="K77" s="24"/>
    </row>
    <row r="78" spans="1:11" ht="15" customHeight="1" x14ac:dyDescent="0.4">
      <c r="B78" s="73" t="s">
        <v>173</v>
      </c>
      <c r="C78" s="77">
        <f>MAX(Data!C12,0)</f>
        <v>2932</v>
      </c>
      <c r="D78" s="160">
        <f>C78/$C$74</f>
        <v>1.8148224946381651E-3</v>
      </c>
      <c r="E78" s="181">
        <f>E74*F78</f>
        <v>2932</v>
      </c>
      <c r="F78" s="161">
        <f>I78</f>
        <v>1.8148224946381651E-3</v>
      </c>
      <c r="H78" s="239">
        <f>Inputs!F97</f>
        <v>2932</v>
      </c>
      <c r="I78" s="161">
        <f>H78/$H$74</f>
        <v>1.8148224946381651E-3</v>
      </c>
      <c r="K78" s="24"/>
    </row>
    <row r="79" spans="1:11" ht="15" customHeight="1" x14ac:dyDescent="0.4">
      <c r="B79" s="257" t="s">
        <v>234</v>
      </c>
      <c r="C79" s="258">
        <f>C76-C77-C78</f>
        <v>102222</v>
      </c>
      <c r="D79" s="259">
        <f>C79/C74</f>
        <v>6.3272436919134561E-2</v>
      </c>
      <c r="E79" s="260">
        <f>E76-E77-E78</f>
        <v>102222</v>
      </c>
      <c r="F79" s="259">
        <f>E79/E74</f>
        <v>6.3272436919134561E-2</v>
      </c>
      <c r="G79" s="261"/>
      <c r="H79" s="260">
        <f>H76-H77-H78</f>
        <v>102222</v>
      </c>
      <c r="I79" s="259">
        <f>H79/H74</f>
        <v>6.3272436919134561E-2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1003</v>
      </c>
      <c r="D81" s="160">
        <f>C81/$C$74</f>
        <v>6.208277497005729E-4</v>
      </c>
      <c r="E81" s="181">
        <f>E74*F81</f>
        <v>1003.0000000000001</v>
      </c>
      <c r="F81" s="161">
        <f>I81</f>
        <v>6.208277497005729E-4</v>
      </c>
      <c r="H81" s="239">
        <f>Inputs!F94</f>
        <v>1003.0000000000001</v>
      </c>
      <c r="I81" s="161">
        <f>H81/$H$74</f>
        <v>6.208277497005729E-4</v>
      </c>
      <c r="K81" s="24"/>
    </row>
    <row r="82" spans="1:11" ht="15" customHeight="1" x14ac:dyDescent="0.4">
      <c r="B82" s="28" t="s">
        <v>248</v>
      </c>
      <c r="C82" s="77">
        <f>ABS(MAX(Data!C21,0)-MAX(Data!C19,0))</f>
        <v>20662</v>
      </c>
      <c r="D82" s="160">
        <f>C82/$C$74</f>
        <v>1.2789175437999239E-2</v>
      </c>
      <c r="E82" s="239">
        <f>Inputs!E95</f>
        <v>20662</v>
      </c>
      <c r="F82" s="161">
        <f>E82/E74</f>
        <v>1.2789175437999239E-2</v>
      </c>
      <c r="H82" s="239">
        <f>Inputs!F95</f>
        <v>20662</v>
      </c>
      <c r="I82" s="161">
        <f>H82/$H$74</f>
        <v>1.2789175437999239E-2</v>
      </c>
      <c r="K82" s="24"/>
    </row>
    <row r="83" spans="1:11" ht="15" customHeight="1" thickBot="1" x14ac:dyDescent="0.45">
      <c r="B83" s="105" t="s">
        <v>126</v>
      </c>
      <c r="C83" s="164">
        <f>C79-C81-C82-C80</f>
        <v>80557</v>
      </c>
      <c r="D83" s="165">
        <f>C83/$C$74</f>
        <v>4.9862433731434744E-2</v>
      </c>
      <c r="E83" s="166">
        <f>E79-E81-E82-E80</f>
        <v>80557</v>
      </c>
      <c r="F83" s="165">
        <f>E83/E74</f>
        <v>4.9862433731434744E-2</v>
      </c>
      <c r="H83" s="166">
        <f>H79-H81-H82-H80</f>
        <v>80557</v>
      </c>
      <c r="I83" s="165">
        <f>H83/$H$74</f>
        <v>4.9862433731434744E-2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60417.75</v>
      </c>
      <c r="D85" s="259">
        <f>C85/$C$74</f>
        <v>3.7396825298576054E-2</v>
      </c>
      <c r="E85" s="265">
        <f>E83*(1-F84)</f>
        <v>60417.75</v>
      </c>
      <c r="F85" s="259">
        <f>E85/E74</f>
        <v>3.7396825298576054E-2</v>
      </c>
      <c r="G85" s="261"/>
      <c r="H85" s="265">
        <f>H83*(1-I84)</f>
        <v>60417.75</v>
      </c>
      <c r="I85" s="259">
        <f>H85/$H$74</f>
        <v>3.7396825298576054E-2</v>
      </c>
      <c r="K85" s="24"/>
    </row>
    <row r="86" spans="1:11" ht="15" customHeight="1" x14ac:dyDescent="0.4">
      <c r="B86" s="87" t="s">
        <v>161</v>
      </c>
      <c r="C86" s="168">
        <f>C85*Data!C4/Common_Shares</f>
        <v>4.5313306835836648E-2</v>
      </c>
      <c r="D86" s="210"/>
      <c r="E86" s="169">
        <f>E85*Data!C4/Common_Shares</f>
        <v>4.5313306835836648E-2</v>
      </c>
      <c r="F86" s="210"/>
      <c r="H86" s="169">
        <f>H85*Data!C4/Common_Shares</f>
        <v>4.5313306835836648E-2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3.0658530212792777E-3</v>
      </c>
      <c r="D87" s="210"/>
      <c r="E87" s="263">
        <f>E86*Exchange_Rate/Dashboard!G3</f>
        <v>3.0658530212792777E-3</v>
      </c>
      <c r="F87" s="210"/>
      <c r="H87" s="263">
        <f>H86*Exchange_Rate/Dashboard!G3</f>
        <v>3.0658530212792777E-3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0.1178</v>
      </c>
      <c r="D88" s="167">
        <f>C88/C86</f>
        <v>2.5996778479834153</v>
      </c>
      <c r="E88" s="171">
        <f>Inputs!E98</f>
        <v>0.1178</v>
      </c>
      <c r="F88" s="167">
        <f>E88/E86</f>
        <v>2.5996778479834153</v>
      </c>
      <c r="H88" s="171">
        <f>Inputs!F98</f>
        <v>0.1178</v>
      </c>
      <c r="I88" s="167">
        <f>H88/H86</f>
        <v>2.5996778479834153</v>
      </c>
      <c r="K88" s="24"/>
    </row>
    <row r="89" spans="1:11" ht="15" customHeight="1" x14ac:dyDescent="0.4">
      <c r="B89" s="87" t="s">
        <v>223</v>
      </c>
      <c r="C89" s="262">
        <f>C88*Exchange_Rate/Dashboard!G3</f>
        <v>7.9702301845927647E-3</v>
      </c>
      <c r="D89" s="210"/>
      <c r="E89" s="262">
        <f>E88*Exchange_Rate/Dashboard!G3</f>
        <v>7.9702301845927647E-3</v>
      </c>
      <c r="F89" s="210"/>
      <c r="H89" s="262">
        <f>H88*Exchange_Rate/Dashboard!G3</f>
        <v>7.9702301845927647E-3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0.6390583168203291</v>
      </c>
      <c r="H93" s="87" t="s">
        <v>211</v>
      </c>
      <c r="I93" s="144">
        <f>FV(H87,D93,0,-(H86/C93))*Exchange_Rate</f>
        <v>0.6390583168203291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1.7023596712453686</v>
      </c>
      <c r="H94" s="87" t="s">
        <v>212</v>
      </c>
      <c r="I94" s="144">
        <f>FV(H89,D93,0,-(H88/C93))*Exchange_Rate</f>
        <v>1.7023596712453686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423633.28978342318</v>
      </c>
      <c r="D97" s="214"/>
      <c r="E97" s="123">
        <f>PV(C94,D93,0,-F93)</f>
        <v>0.31772492762195143</v>
      </c>
      <c r="F97" s="214"/>
      <c r="H97" s="123">
        <f>PV(C94,D93,0,-I93)</f>
        <v>0.31772492762195143</v>
      </c>
      <c r="I97" s="123">
        <f>PV(C93,D93,0,-I93)</f>
        <v>0.45140520702675579</v>
      </c>
      <c r="K97" s="24"/>
    </row>
    <row r="98" spans="2:11" ht="15" customHeight="1" x14ac:dyDescent="0.4">
      <c r="B98" s="28" t="s">
        <v>145</v>
      </c>
      <c r="C98" s="91">
        <f>E53*Exchange_Rate</f>
        <v>25973.579161873571</v>
      </c>
      <c r="D98" s="214"/>
      <c r="E98" s="214"/>
      <c r="F98" s="214"/>
      <c r="H98" s="123">
        <f>C98*Data!$C$4/Common_Shares</f>
        <v>1.9480181936382436E-2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1987611.5</v>
      </c>
      <c r="D99" s="215"/>
      <c r="E99" s="146">
        <f>IF(H99&gt;0,H99*(1-C94),H99*(1+C94))</f>
        <v>1.2671021728622283</v>
      </c>
      <c r="F99" s="215"/>
      <c r="H99" s="146">
        <f>C99*Data!$C$4/Common_Shares</f>
        <v>1.4907084386614451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2385271.2106215497</v>
      </c>
      <c r="D100" s="109">
        <f>MIN(F100*(1-C94),E100)</f>
        <v>1.4255775437302947</v>
      </c>
      <c r="E100" s="109">
        <f>MAX(E97-H98+E99,0)</f>
        <v>1.5653469185477973</v>
      </c>
      <c r="F100" s="109">
        <f>(E100+H100)/2</f>
        <v>1.6771500514474056</v>
      </c>
      <c r="H100" s="109">
        <f>MAX(C100*Data!$C$4/Common_Shares,0)</f>
        <v>1.7889531843470141</v>
      </c>
      <c r="I100" s="109">
        <f>MAX(I97-H98+H99,0)</f>
        <v>1.9226334637518185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1128498.3059332604</v>
      </c>
      <c r="D103" s="109">
        <f>MIN(F103*(1-C94),E103)</f>
        <v>0.71941758010525603</v>
      </c>
      <c r="E103" s="123">
        <f>PV(C94,D93,0,-F94)</f>
        <v>0.84637362365324242</v>
      </c>
      <c r="F103" s="109">
        <f>(E103+H103)/2</f>
        <v>0.84637362365324242</v>
      </c>
      <c r="H103" s="123">
        <f>PV(C94,D93,0,-I94)</f>
        <v>0.84637362365324242</v>
      </c>
      <c r="I103" s="109">
        <f>PV(C93,D93,0,-I94)</f>
        <v>1.2024787090730658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1607813.8957774048</v>
      </c>
      <c r="D106" s="109">
        <f>(D100+D103)/2</f>
        <v>1.0724975619177752</v>
      </c>
      <c r="E106" s="123">
        <f>(E100+E103)/2</f>
        <v>1.2058602711005197</v>
      </c>
      <c r="F106" s="109">
        <f>(F100+F103)/2</f>
        <v>1.2617618375503241</v>
      </c>
      <c r="H106" s="123">
        <f>(H100+H103)/2</f>
        <v>1.3176634040001283</v>
      </c>
      <c r="I106" s="123">
        <f>(I100+I103)/2</f>
        <v>1.5625560864124421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