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13_ncr:1_{74F43F5B-AC97-4DCF-906E-AFD231DC0F2F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52" i="2" l="1"/>
  <c r="H52" i="2"/>
  <c r="I52" i="2"/>
  <c r="J52" i="2"/>
  <c r="K52" i="2"/>
  <c r="L52" i="2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C52" i="2" s="1"/>
  <c r="E6" i="2"/>
  <c r="D52" i="2" s="1"/>
  <c r="F6" i="2"/>
  <c r="E52" i="2" s="1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H77" i="3" s="1"/>
  <c r="F92" i="4"/>
  <c r="H75" i="3" s="1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F106" i="3" s="1"/>
  <c r="F29" i="1" s="1"/>
  <c r="D100" i="3" l="1"/>
  <c r="D106" i="3" s="1"/>
  <c r="C29" i="1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<sst xmlns="http://schemas.openxmlformats.org/spreadsheetml/2006/main" count="391" uniqueCount="271">
  <si>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</si>
  <si>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</si>
  <si>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</si>
  <si>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</si>
  <si>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</si>
  <si>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</si>
  <si>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</si>
  <si>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</si>
  <si>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</si>
  <si>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</si>
  <si>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</si>
  <si>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</si>
  <si>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</si>
  <si>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</si>
  <si>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</si>
  <si>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</si>
  <si>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</si>
  <si>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</si>
  <si>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</si>
  <si>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</si>
  <si>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</si>
  <si>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</si>
  <si>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</si>
  <si>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</si>
  <si>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</si>
  <si>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</si>
  <si>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</si>
  <si>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</si>
  <si>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</si>
  <si>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</si>
  <si>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</si>
  <si>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</si>
  <si>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</si>
  <si>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</si>
  <si>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</si>
  <si>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</si>
  <si>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</si>
  <si>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</si>
  <si>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</si>
  <si>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</si>
  <si>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</si>
  <si>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</si>
  <si>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</si>
  <si>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</si>
  <si>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</si>
  <si>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</si>
  <si>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</si>
  <si>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</si>
  <si>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</si>
  <si>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</si>
  <si>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</si>
  <si>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</si>
  <si>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</si>
  <si>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</si>
  <si>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</si>
  <si>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</si>
  <si>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</si>
  <si>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</si>
  <si>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</si>
  <si>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</si>
  <si>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</si>
  <si>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</si>
  <si>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</si>
  <si>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</si>
  <si>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</si>
  <si>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</si>
  <si>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</si>
  <si>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</si>
  <si>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</si>
  <si>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</si>
  <si>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</si>
  <si>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</si>
  <si>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</si>
  <si>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</si>
  <si>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</si>
  <si>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</si>
  <si>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</si>
  <si>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</si>
  <si>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</si>
  <si>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</si>
  <si>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</si>
  <si>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</si>
  <si>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</si>
  <si>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</si>
  <si>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</si>
  <si>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</si>
  <si>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</si>
  <si>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</si>
  <si>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</si>
  <si>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</si>
  <si>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</si>
  <si>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</si>
  <si>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</si>
  <si>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</si>
  <si>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</si>
  <si>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</si>
  <si>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</si>
  <si>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</si>
  <si>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</si>
  <si>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</si>
  <si>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</si>
  <si>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</si>
  <si>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</si>
  <si>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</si>
  <si>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</si>
  <si>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</si>
  <si>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</si>
  <si>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</si>
  <si>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</si>
  <si>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</si>
  <si>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</si>
  <si>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</si>
  <si>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</si>
  <si>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</si>
  <si>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</si>
  <si>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</si>
  <si>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</si>
  <si>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</si>
  <si>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</si>
  <si>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</si>
  <si>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</si>
  <si>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</si>
  <si>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</si>
  <si>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</si>
  <si>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</si>
  <si>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</si>
  <si>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</si>
  <si>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</si>
  <si>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</si>
  <si>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</si>
  <si>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</si>
  <si>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</si>
  <si>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</si>
  <si>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</si>
  <si>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</si>
  <si>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</si>
  <si>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</si>
  <si>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</si>
  <si>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</si>
  <si>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</si>
  <si>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</si>
  <si>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</si>
  <si>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</si>
  <si>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</si>
  <si>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</si>
  <si>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</si>
  <si>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</si>
  <si>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</si>
  <si>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</si>
  <si>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</si>
  <si>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</si>
  <si>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</si>
  <si>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</si>
  <si>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</si>
  <si>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</si>
  <si>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</si>
  <si>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</si>
  <si>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</si>
  <si>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</si>
  <si>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</si>
  <si>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</si>
  <si>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</si>
  <si>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</si>
  <si>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</si>
  <si>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</si>
  <si>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</si>
  <si>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</si>
  <si>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</si>
  <si>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</si>
  <si>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</si>
  <si>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</si>
  <si>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</si>
  <si>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</si>
  <si>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</si>
  <si>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</si>
  <si>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</si>
  <si>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</si>
  <si>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</si>
  <si>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</si>
  <si>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</si>
  <si>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</si>
  <si>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</si>
  <si>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</si>
  <si>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</si>
  <si>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</si>
  <si>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</si>
  <si>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</si>
  <si>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</si>
  <si>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</si>
  <si>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</si>
  <si>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</si>
  <si>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</si>
  <si>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</si>
  <si>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</si>
  <si>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</si>
  <si>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</si>
  <si>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</si>
  <si>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</si>
  <si>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</si>
  <si>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</si>
  <si>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</si>
  <si>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</si>
  <si>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</si>
  <si>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</si>
  <si>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</si>
  <si>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</si>
  <si>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</si>
  <si>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</si>
  <si>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</si>
  <si>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</si>
  <si>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</si>
  <si>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</si>
  <si>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</si>
  <si>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</si>
  <si>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</si>
  <si>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</si>
  <si>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</si>
  <si>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</si>
  <si>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</si>
  <si>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</si>
  <si>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</si>
  <si>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</si>
  <si>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</si>
  <si>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</si>
  <si>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</si>
  <si>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</si>
  <si>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</si>
  <si>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</si>
  <si>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</si>
  <si>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</si>
  <si>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</si>
  <si>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</si>
  <si>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</si>
  <si>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</si>
  <si>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</si>
  <si>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</si>
  <si>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</si>
  <si>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</si>
  <si>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</si>
  <si>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</si>
  <si>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</si>
  <si>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</si>
  <si>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</si>
  <si>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</si>
  <si>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</si>
  <si>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</si>
  <si>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</si>
  <si>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</si>
  <si>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</si>
  <si>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</si>
  <si>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</si>
  <si>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</si>
  <si>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</si>
  <si>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</si>
  <si>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</si>
  <si>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</si>
  <si>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</si>
  <si>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</si>
  <si>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</si>
  <si>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</si>
  <si>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</si>
  <si>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</si>
  <si>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</si>
  <si>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</si>
  <si>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</si>
  <si>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0683.HK</t>
    <phoneticPr fontId="20" type="noConversion"/>
  </si>
  <si>
    <t>C0005</t>
    <phoneticPr fontId="20" type="noConversion"/>
  </si>
  <si>
    <t>HKD</t>
    <phoneticPr fontId="20" type="noConversion"/>
  </si>
  <si>
    <t>嘉里建設</t>
    <phoneticPr fontId="20" type="noConversion"/>
  </si>
  <si>
    <t>Tier 3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</si>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</sst>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0" fontId="29" fillId="9" borderId="14" xfId="0" applyFont="1" applyFill="1" applyBorder="1" applyAlignment="1">
      <alignment horizontal="right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0.48651894461783024</c:v>
                </c:pt>
                <c:pt idx="1">
                  <c:v>0.13623030387112606</c:v>
                </c:pt>
                <c:pt idx="2">
                  <c:v>9.375962912518726E-2</c:v>
                </c:pt>
                <c:pt idx="3">
                  <c:v>0</c:v>
                </c:pt>
                <c:pt idx="4">
                  <c:v>4.581383061459042E-2</c:v>
                </c:pt>
                <c:pt idx="5">
                  <c:v>0</c:v>
                </c:pt>
                <c:pt idx="6">
                  <c:v>0.23767729177126601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D86" sqref="D86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5" x14ac:dyDescent="0.5">
      <c r="B5" s="141" t="s">
        <v>195</v>
      </c>
      <c r="C5" s="287" t="s">
        <v>268</v>
      </c>
    </row>
    <row r="6" spans="1:5" ht="13.9" x14ac:dyDescent="0.4">
      <c r="B6" s="141" t="s">
        <v>163</v>
      </c>
      <c r="C6" s="189">
        <v>45639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269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1451305728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255</v>
      </c>
      <c r="C15" s="176" t="s">
        <v>260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13089628</v>
      </c>
      <c r="D25" s="149">
        <v>14590475</v>
      </c>
      <c r="E25" s="149">
        <v>15326764</v>
      </c>
      <c r="F25" s="149">
        <v>14526102</v>
      </c>
      <c r="G25" s="149">
        <v>18025422</v>
      </c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6368352</v>
      </c>
      <c r="D26" s="150">
        <v>7605791</v>
      </c>
      <c r="E26" s="150">
        <v>6583757</v>
      </c>
      <c r="F26" s="150">
        <v>6139239</v>
      </c>
      <c r="G26" s="150">
        <v>9041440</v>
      </c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1783204</v>
      </c>
      <c r="D27" s="150">
        <v>1720023</v>
      </c>
      <c r="E27" s="150">
        <v>2003343</v>
      </c>
      <c r="F27" s="150">
        <v>1613699</v>
      </c>
      <c r="G27" s="150">
        <v>1602120</v>
      </c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256</v>
      </c>
      <c r="C29" s="150">
        <v>599686</v>
      </c>
      <c r="D29" s="150">
        <v>317225</v>
      </c>
      <c r="E29" s="150">
        <v>562656</v>
      </c>
      <c r="F29" s="150">
        <v>781715</v>
      </c>
      <c r="G29" s="150">
        <v>812565</v>
      </c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920459</v>
      </c>
      <c r="D30" s="150">
        <v>720106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>
        <v>52019578</v>
      </c>
      <c r="F34" s="150">
        <v>46824778</v>
      </c>
      <c r="G34" s="150">
        <v>30542596</v>
      </c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>
        <v>22442764</v>
      </c>
      <c r="F37" s="150">
        <v>20617000</v>
      </c>
      <c r="G37" s="150">
        <v>19835482</v>
      </c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>
        <v>5316310</v>
      </c>
      <c r="F39" s="150">
        <v>6964787</v>
      </c>
      <c r="G39" s="150">
        <v>8544578</v>
      </c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>
        <v>32210595</v>
      </c>
      <c r="F40" s="150">
        <v>37670707</v>
      </c>
      <c r="G40" s="150">
        <v>31147279</v>
      </c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>
        <v>132313126</v>
      </c>
      <c r="F41" s="150">
        <v>124656340</v>
      </c>
      <c r="G41" s="150">
        <v>115383027</v>
      </c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264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1.3499962549695244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252</v>
      </c>
      <c r="C45" s="152">
        <f>IF(C44="","",C44*Exchange_Rate/Dashboard!$G$3)</f>
        <v>8.5987022609523844E-2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270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13089628</v>
      </c>
      <c r="D91" s="209"/>
      <c r="E91" s="251">
        <f>C91</f>
        <v>13089628</v>
      </c>
      <c r="F91" s="251">
        <f>C91</f>
        <v>13089628</v>
      </c>
    </row>
    <row r="92" spans="2:8" ht="13.9" x14ac:dyDescent="0.4">
      <c r="B92" s="104" t="s">
        <v>105</v>
      </c>
      <c r="C92" s="77">
        <f>C26</f>
        <v>6368352</v>
      </c>
      <c r="D92" s="159">
        <f>C92/C91</f>
        <v>0.48651894461783024</v>
      </c>
      <c r="E92" s="252">
        <f>E91*D92</f>
        <v>6368352</v>
      </c>
      <c r="F92" s="252">
        <f>F91*D92</f>
        <v>6368352</v>
      </c>
    </row>
    <row r="93" spans="2:8" ht="13.9" x14ac:dyDescent="0.4">
      <c r="B93" s="104" t="s">
        <v>247</v>
      </c>
      <c r="C93" s="77">
        <f>C27+C28</f>
        <v>1783204</v>
      </c>
      <c r="D93" s="159">
        <f>C93/C91</f>
        <v>0.13623030387112606</v>
      </c>
      <c r="E93" s="252">
        <f>E91*D93</f>
        <v>1783204</v>
      </c>
      <c r="F93" s="252">
        <f>F91*D93</f>
        <v>1783204</v>
      </c>
    </row>
    <row r="94" spans="2:8" ht="13.9" x14ac:dyDescent="0.4">
      <c r="B94" s="104" t="s">
        <v>256</v>
      </c>
      <c r="C94" s="77">
        <f>C29</f>
        <v>599686</v>
      </c>
      <c r="D94" s="159">
        <f>C94/C91</f>
        <v>4.581383061459042E-2</v>
      </c>
      <c r="E94" s="253"/>
      <c r="F94" s="252">
        <f>F91*D94</f>
        <v>599686</v>
      </c>
    </row>
    <row r="95" spans="2:8" ht="13.9" x14ac:dyDescent="0.4">
      <c r="B95" s="28" t="s">
        <v>246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1227278.6666666667</v>
      </c>
      <c r="D97" s="159">
        <f>C97/C91</f>
        <v>9.375962912518726E-2</v>
      </c>
      <c r="E97" s="253"/>
      <c r="F97" s="252">
        <f>F91*D97</f>
        <v>1227278.6666666667</v>
      </c>
    </row>
    <row r="98" spans="2:7" ht="13.9" x14ac:dyDescent="0.4">
      <c r="B98" s="86" t="s">
        <v>207</v>
      </c>
      <c r="C98" s="237">
        <f>C44</f>
        <v>1.3499962549695244</v>
      </c>
      <c r="D98" s="266"/>
      <c r="E98" s="254">
        <f>F98</f>
        <v>1.3499962549695244</v>
      </c>
      <c r="F98" s="254">
        <f>C98</f>
        <v>1.3499962549695244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0683.HK : 嘉里建設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0683.HK</v>
      </c>
      <c r="D3" s="278"/>
      <c r="E3" s="87"/>
      <c r="F3" s="3" t="s">
        <v>1</v>
      </c>
      <c r="G3" s="132">
        <v>15.7</v>
      </c>
      <c r="H3" s="134" t="s">
        <v>267</v>
      </c>
    </row>
    <row r="4" spans="1:10" ht="15.75" customHeight="1" x14ac:dyDescent="0.4">
      <c r="B4" s="35" t="s">
        <v>195</v>
      </c>
      <c r="C4" s="279" t="str">
        <f>Inputs!C5</f>
        <v>嘉里建設</v>
      </c>
      <c r="D4" s="280"/>
      <c r="E4" s="87"/>
      <c r="F4" s="3" t="s">
        <v>2</v>
      </c>
      <c r="G4" s="283">
        <f>Inputs!C10</f>
        <v>1451305728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45639</v>
      </c>
      <c r="D5" s="282"/>
      <c r="E5" s="34"/>
      <c r="F5" s="35" t="s">
        <v>99</v>
      </c>
      <c r="G5" s="275">
        <f>G3*G4/1000000</f>
        <v>22785.499929599999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C0005</v>
      </c>
      <c r="E7" s="87"/>
      <c r="F7" s="35" t="s">
        <v>5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253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254</v>
      </c>
      <c r="C17" s="175">
        <v>8.6249999999999993E-2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0.48651894461783024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0.13623030387112606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9.375962912518726E-2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4.581383061459042E-2</v>
      </c>
      <c r="F24" s="140" t="s">
        <v>259</v>
      </c>
      <c r="G24" s="268">
        <f>G3/(Fin_Analysis!H86*G7)</f>
        <v>9.7652261133174214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0.83968271859293786</v>
      </c>
    </row>
    <row r="26" spans="1:8" ht="15.75" customHeight="1" x14ac:dyDescent="0.4">
      <c r="B26" s="138" t="s">
        <v>173</v>
      </c>
      <c r="C26" s="171">
        <f>Fin_Analysis!I83</f>
        <v>0.23767729177126601</v>
      </c>
      <c r="F26" s="141" t="s">
        <v>193</v>
      </c>
      <c r="G26" s="178">
        <f>Fin_Analysis!H88*Exchange_Rate/G3</f>
        <v>8.5987022609523844E-2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257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14.852855212678676</v>
      </c>
      <c r="D29" s="129">
        <f>G29*(1+G20)</f>
        <v>26.725701696308782</v>
      </c>
      <c r="E29" s="87"/>
      <c r="F29" s="131">
        <f>IF(Fin_Analysis!C108="Profit",Fin_Analysis!F100,IF(Fin_Analysis!C108="Dividend",Fin_Analysis!F103,Fin_Analysis!F106))</f>
        <v>17.473947309033736</v>
      </c>
      <c r="G29" s="274">
        <f>IF(Fin_Analysis!C108="Profit",Fin_Analysis!I100,IF(Fin_Analysis!C108="Dividend",Fin_Analysis!I103,Fin_Analysis!I106))</f>
        <v>23.239740605485899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15" sqref="D1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3710793.333333333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HKD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13089628</v>
      </c>
      <c r="D6" s="200">
        <f>IF(Inputs!D25="","",Inputs!D25)</f>
        <v>14590475</v>
      </c>
      <c r="E6" s="200">
        <f>IF(Inputs!E25="","",Inputs!E25)</f>
        <v>15326764</v>
      </c>
      <c r="F6" s="200">
        <f>IF(Inputs!F25="","",Inputs!F25)</f>
        <v>14526102</v>
      </c>
      <c r="G6" s="200">
        <f>IF(Inputs!G25="","",Inputs!G25)</f>
        <v>18025422</v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-0.10286484847134858</v>
      </c>
      <c r="D7" s="92">
        <f t="shared" si="1"/>
        <v>-4.8039429588659366E-2</v>
      </c>
      <c r="E7" s="92">
        <f t="shared" si="1"/>
        <v>5.511884743753015E-2</v>
      </c>
      <c r="F7" s="92">
        <f t="shared" si="1"/>
        <v>-0.19413248688435703</v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6368352</v>
      </c>
      <c r="D8" s="199">
        <f>IF(Inputs!D26="","",Inputs!D26)</f>
        <v>7605791</v>
      </c>
      <c r="E8" s="199">
        <f>IF(Inputs!E26="","",Inputs!E26)</f>
        <v>6583757</v>
      </c>
      <c r="F8" s="199">
        <f>IF(Inputs!F26="","",Inputs!F26)</f>
        <v>6139239</v>
      </c>
      <c r="G8" s="199">
        <f>IF(Inputs!G26="","",Inputs!G26)</f>
        <v>9041440</v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6721276</v>
      </c>
      <c r="D9" s="151">
        <f t="shared" si="2"/>
        <v>6984684</v>
      </c>
      <c r="E9" s="151">
        <f t="shared" si="2"/>
        <v>8743007</v>
      </c>
      <c r="F9" s="151">
        <f t="shared" si="2"/>
        <v>8386863</v>
      </c>
      <c r="G9" s="151">
        <f t="shared" si="2"/>
        <v>8983982</v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1783204</v>
      </c>
      <c r="D10" s="199">
        <f>IF(Inputs!D27="","",Inputs!D27)</f>
        <v>1720023</v>
      </c>
      <c r="E10" s="199">
        <f>IF(Inputs!E27="","",Inputs!E27)</f>
        <v>2003343</v>
      </c>
      <c r="F10" s="199">
        <f>IF(Inputs!F27="","",Inputs!F27)</f>
        <v>1613699</v>
      </c>
      <c r="G10" s="199">
        <f>IF(Inputs!G27="","",Inputs!G27)</f>
        <v>1602120</v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1227278.6666666667</v>
      </c>
      <c r="D12" s="199">
        <f>IF(Inputs!D30="","",MAX(Inputs!D30,0)/(1-Fin_Analysis!$I$84))</f>
        <v>960141.33333333337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0.28349112238585644</v>
      </c>
      <c r="D13" s="229">
        <f t="shared" si="3"/>
        <v>0.29502258608213011</v>
      </c>
      <c r="E13" s="229">
        <f t="shared" si="3"/>
        <v>0.4397317007034231</v>
      </c>
      <c r="F13" s="229">
        <f t="shared" si="3"/>
        <v>0.46627539858938066</v>
      </c>
      <c r="G13" s="229">
        <f t="shared" si="3"/>
        <v>0.40952505855341415</v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3710793.333333333</v>
      </c>
      <c r="D14" s="230">
        <f t="shared" ref="D14:M14" si="4">IF(D6="","",D9-D10-MAX(D11,0)-MAX(D12,0))</f>
        <v>4304519.666666667</v>
      </c>
      <c r="E14" s="230">
        <f t="shared" si="4"/>
        <v>6739664</v>
      </c>
      <c r="F14" s="230">
        <f t="shared" si="4"/>
        <v>6773164</v>
      </c>
      <c r="G14" s="230">
        <f t="shared" si="4"/>
        <v>7381862</v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-0.1379309143203668</v>
      </c>
      <c r="D15" s="232">
        <f t="shared" ref="D15:M15" si="5">IF(E14="","",IF(ABS(D14+E14)=ABS(D14)+ABS(E14),IF(D14&lt;0,-1,1)*(D14-E14)/E14,"Turn"))</f>
        <v>-0.36131539099476367</v>
      </c>
      <c r="E15" s="232">
        <f t="shared" si="5"/>
        <v>-4.9459897914770701E-3</v>
      </c>
      <c r="F15" s="232">
        <f t="shared" si="5"/>
        <v>-8.2458599198955498E-2</v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256</v>
      </c>
      <c r="C17" s="199">
        <f>IF(Inputs!C29="","",Inputs!C29)</f>
        <v>599686</v>
      </c>
      <c r="D17" s="199">
        <f>IF(Inputs!D29="","",Inputs!D29)</f>
        <v>317225</v>
      </c>
      <c r="E17" s="199">
        <f>IF(Inputs!E29="","",Inputs!E29)</f>
        <v>562656</v>
      </c>
      <c r="F17" s="199">
        <f>IF(Inputs!F29="","",Inputs!F29)</f>
        <v>781715</v>
      </c>
      <c r="G17" s="199">
        <f>IF(Inputs!G29="","",Inputs!G29)</f>
        <v>812565</v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>
        <f t="shared" si="7"/>
        <v>0</v>
      </c>
      <c r="F20" s="152">
        <f t="shared" si="7"/>
        <v>0</v>
      </c>
      <c r="G20" s="152">
        <f t="shared" si="7"/>
        <v>0</v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3111107.333333333</v>
      </c>
      <c r="D22" s="161">
        <f t="shared" ref="D22:M22" si="8">IF(D6="","",D14-MAX(D16,0)-MAX(D17,0)-ABS(MAX(D21,0)-MAX(D19,0)))</f>
        <v>3987294.666666667</v>
      </c>
      <c r="E22" s="161">
        <f t="shared" si="8"/>
        <v>6177008</v>
      </c>
      <c r="F22" s="161">
        <f t="shared" si="8"/>
        <v>5991449</v>
      </c>
      <c r="G22" s="161">
        <f t="shared" si="8"/>
        <v>6569297</v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0.17825796882844952</v>
      </c>
      <c r="D23" s="153">
        <f t="shared" si="9"/>
        <v>0.20496049648829115</v>
      </c>
      <c r="E23" s="153">
        <f t="shared" si="9"/>
        <v>0.30226576203561301</v>
      </c>
      <c r="F23" s="153">
        <f t="shared" si="9"/>
        <v>0.30934566960909404</v>
      </c>
      <c r="G23" s="153">
        <f t="shared" si="9"/>
        <v>0.27333466866961559</v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2333330.5</v>
      </c>
      <c r="D24" s="77">
        <f>IF(D6="","",D22*(1-Fin_Analysis!$I$84))</f>
        <v>2990471</v>
      </c>
      <c r="E24" s="77">
        <f>IF(E6="","",E22*(1-Fin_Analysis!$I$84))</f>
        <v>4632756</v>
      </c>
      <c r="F24" s="77">
        <f>IF(F6="","",F22*(1-Fin_Analysis!$I$84))</f>
        <v>4493586.75</v>
      </c>
      <c r="G24" s="77">
        <f>IF(G6="","",G22*(1-Fin_Analysis!$I$84))</f>
        <v>4926972.75</v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-0.21974481611759486</v>
      </c>
      <c r="D25" s="233">
        <f t="shared" ref="D25:M25" si="10">IF(E24="","",IF(ABS(D24+E24)=ABS(D24)+ABS(E24),IF(D24&lt;0,-1,1)*(D24-E24)/E24,"Turn"))</f>
        <v>-0.35449417150396006</v>
      </c>
      <c r="E25" s="233">
        <f t="shared" si="10"/>
        <v>3.0970638321381021E-2</v>
      </c>
      <c r="F25" s="233">
        <f t="shared" si="10"/>
        <v>-8.7961923475221165E-2</v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e">
        <f t="shared" si="20"/>
        <v>#VALUE!</v>
      </c>
      <c r="F27" s="65" t="e">
        <f t="shared" si="20"/>
        <v>#VALUE!</v>
      </c>
      <c r="G27" s="65" t="e">
        <f t="shared" si="20"/>
        <v>#VALUE!</v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>
        <f>IF(Inputs!E34="","",Inputs!E34)</f>
        <v>52019578</v>
      </c>
      <c r="F28" s="199">
        <f>IF(Inputs!F34="","",Inputs!F34)</f>
        <v>46824778</v>
      </c>
      <c r="G28" s="199">
        <f>IF(Inputs!G34="","",Inputs!G34)</f>
        <v>30542596</v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>
        <f>IF(Inputs!E37="","",Inputs!E37)</f>
        <v>22442764</v>
      </c>
      <c r="F31" s="199">
        <f>IF(Inputs!F37="","",Inputs!F37)</f>
        <v>20617000</v>
      </c>
      <c r="G31" s="199">
        <f>IF(Inputs!G37="","",Inputs!G37)</f>
        <v>19835482</v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>
        <f>IF(Inputs!E39="","",Inputs!E39)</f>
        <v>5316310</v>
      </c>
      <c r="F33" s="199">
        <f>IF(Inputs!F39="","",Inputs!F39)</f>
        <v>6964787</v>
      </c>
      <c r="G33" s="199">
        <f>IF(Inputs!G39="","",Inputs!G39)</f>
        <v>8544578</v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>
        <f>IF(Inputs!E40="","",Inputs!E40)</f>
        <v>32210595</v>
      </c>
      <c r="F34" s="199">
        <f>IF(Inputs!F40="","",Inputs!F40)</f>
        <v>37670707</v>
      </c>
      <c r="G34" s="199">
        <f>IF(Inputs!G40="","",Inputs!G40)</f>
        <v>31147279</v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>
        <f t="shared" ref="E35" si="23">IF(OR(E33="",E34=""),"",E33+E34)</f>
        <v>37526905</v>
      </c>
      <c r="F35" s="77">
        <f t="shared" ref="F35" si="24">IF(OR(F33="",F34=""),"",F33+F34)</f>
        <v>44635494</v>
      </c>
      <c r="G35" s="77">
        <f t="shared" ref="G35" si="25">IF(OR(G33="",G34=""),"",G33+G34)</f>
        <v>39691857</v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>
        <f>IF(Inputs!E41="","",Inputs!E41)</f>
        <v>132313126</v>
      </c>
      <c r="F36" s="199">
        <f>IF(Inputs!F41="","",Inputs!F41)</f>
        <v>124656340</v>
      </c>
      <c r="G36" s="199">
        <f>IF(Inputs!G41="","",Inputs!G41)</f>
        <v>115383027</v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251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0.48651894461783024</v>
      </c>
      <c r="D42" s="156">
        <f t="shared" si="34"/>
        <v>0.52128467373406284</v>
      </c>
      <c r="E42" s="156">
        <f t="shared" si="34"/>
        <v>0.42955949475049005</v>
      </c>
      <c r="F42" s="156">
        <f t="shared" si="34"/>
        <v>0.42263499182368403</v>
      </c>
      <c r="G42" s="156">
        <f t="shared" si="34"/>
        <v>0.50159380457223135</v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0.13623030387112606</v>
      </c>
      <c r="D43" s="153">
        <f t="shared" si="35"/>
        <v>0.11788670348292293</v>
      </c>
      <c r="E43" s="153">
        <f t="shared" si="35"/>
        <v>0.13070880454608683</v>
      </c>
      <c r="F43" s="153">
        <f t="shared" si="35"/>
        <v>0.1110896095869353</v>
      </c>
      <c r="G43" s="153">
        <f t="shared" si="35"/>
        <v>8.8881136874354449E-2</v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>
        <f t="shared" si="36"/>
        <v>0</v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4.581383061459042E-2</v>
      </c>
      <c r="D45" s="153">
        <f t="shared" si="37"/>
        <v>2.1741924097741849E-2</v>
      </c>
      <c r="E45" s="153">
        <f t="shared" si="37"/>
        <v>3.6710684655939116E-2</v>
      </c>
      <c r="F45" s="153">
        <f t="shared" si="37"/>
        <v>5.3814505777255314E-2</v>
      </c>
      <c r="G45" s="153">
        <f t="shared" si="37"/>
        <v>4.5078833660593357E-2</v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9.375962912518726E-2</v>
      </c>
      <c r="D46" s="153">
        <f t="shared" ref="D46:M46" si="38">IF(D6="","",MAX(D12,0)/D6)</f>
        <v>6.5806036700884196E-2</v>
      </c>
      <c r="E46" s="153">
        <f t="shared" si="38"/>
        <v>0</v>
      </c>
      <c r="F46" s="153">
        <f t="shared" si="38"/>
        <v>0</v>
      </c>
      <c r="G46" s="153">
        <f t="shared" si="38"/>
        <v>0</v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>
        <f t="shared" si="39"/>
        <v>0</v>
      </c>
      <c r="F47" s="153">
        <f t="shared" si="39"/>
        <v>0</v>
      </c>
      <c r="G47" s="153">
        <f t="shared" si="39"/>
        <v>0</v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0.23767729177126601</v>
      </c>
      <c r="D48" s="153">
        <f t="shared" si="40"/>
        <v>0.27328066198438822</v>
      </c>
      <c r="E48" s="153">
        <f t="shared" si="40"/>
        <v>0.40302101604748397</v>
      </c>
      <c r="F48" s="153">
        <f t="shared" si="40"/>
        <v>0.41246089281212539</v>
      </c>
      <c r="G48" s="153">
        <f t="shared" si="40"/>
        <v>0.3644462248928208</v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e">
        <f t="shared" ref="D52:M52" si="43">IF(E6="","",D16/(D6-E6))</f>
        <v>#VALUE!</v>
      </c>
      <c r="E52" s="153" t="e">
        <f t="shared" si="43"/>
        <v>#VALUE!</v>
      </c>
      <c r="F52" s="153" t="e">
        <f t="shared" si="43"/>
        <v>#VALUE!</v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e">
        <f t="shared" si="44"/>
        <v>#VALUE!</v>
      </c>
      <c r="F54" s="156" t="e">
        <f t="shared" si="44"/>
        <v>#VALUE!</v>
      </c>
      <c r="G54" s="156" t="e">
        <f t="shared" si="44"/>
        <v>#VALUE!</v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>
        <f t="shared" si="45"/>
        <v>0.16460211680126566</v>
      </c>
      <c r="F55" s="157">
        <f t="shared" si="45"/>
        <v>0.13423059684295194</v>
      </c>
      <c r="G55" s="157">
        <f t="shared" si="45"/>
        <v>0.16550742385270611</v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0.19275644834711586</v>
      </c>
      <c r="D56" s="153">
        <f t="shared" si="46"/>
        <v>7.9558955763155692E-2</v>
      </c>
      <c r="E56" s="153">
        <f t="shared" si="46"/>
        <v>9.108876012464287E-2</v>
      </c>
      <c r="F56" s="153">
        <f t="shared" si="46"/>
        <v>0.1304717773613695</v>
      </c>
      <c r="G56" s="153">
        <f t="shared" si="46"/>
        <v>0.12369131735100422</v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>
        <f t="shared" si="47"/>
        <v>2.3178775127698175</v>
      </c>
      <c r="F57" s="158">
        <f t="shared" si="47"/>
        <v>2.2711732065770964</v>
      </c>
      <c r="G57" s="158">
        <f t="shared" si="47"/>
        <v>1.5397960079820596</v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0" zoomScaleNormal="100" workbookViewId="0">
      <selection activeCell="F84" sqref="F84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13089628</v>
      </c>
      <c r="D74" s="209"/>
      <c r="E74" s="238">
        <f>Inputs!E91</f>
        <v>13089628</v>
      </c>
      <c r="F74" s="209"/>
      <c r="H74" s="238">
        <f>Inputs!F91</f>
        <v>13089628</v>
      </c>
      <c r="I74" s="209"/>
      <c r="K74" s="24"/>
    </row>
    <row r="75" spans="1:11" ht="15" customHeight="1" x14ac:dyDescent="0.4">
      <c r="B75" s="104" t="s">
        <v>105</v>
      </c>
      <c r="C75" s="77">
        <f>Data!C8</f>
        <v>6368352</v>
      </c>
      <c r="D75" s="159">
        <f>C75/$C$74</f>
        <v>0.48651894461783024</v>
      </c>
      <c r="E75" s="238">
        <f>Inputs!E92</f>
        <v>6368352</v>
      </c>
      <c r="F75" s="160">
        <f>E75/E74</f>
        <v>0.48651894461783024</v>
      </c>
      <c r="H75" s="238">
        <f>Inputs!F92</f>
        <v>6368352</v>
      </c>
      <c r="I75" s="160">
        <f>H75/$H$74</f>
        <v>0.48651894461783024</v>
      </c>
      <c r="K75" s="24"/>
    </row>
    <row r="76" spans="1:11" ht="15" customHeight="1" x14ac:dyDescent="0.4">
      <c r="B76" s="35" t="s">
        <v>95</v>
      </c>
      <c r="C76" s="161">
        <f>C74-C75</f>
        <v>6721276</v>
      </c>
      <c r="D76" s="210"/>
      <c r="E76" s="162">
        <f>E74-E75</f>
        <v>6721276</v>
      </c>
      <c r="F76" s="210"/>
      <c r="H76" s="162">
        <f>H74-H75</f>
        <v>6721276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1783204</v>
      </c>
      <c r="D77" s="159">
        <f>C77/$C$74</f>
        <v>0.13623030387112606</v>
      </c>
      <c r="E77" s="238">
        <f>Inputs!E93</f>
        <v>1783204</v>
      </c>
      <c r="F77" s="160">
        <f>E77/E74</f>
        <v>0.13623030387112606</v>
      </c>
      <c r="H77" s="238">
        <f>Inputs!F93</f>
        <v>1783204</v>
      </c>
      <c r="I77" s="160">
        <f>H77/$H$74</f>
        <v>0.13623030387112606</v>
      </c>
      <c r="K77" s="24"/>
    </row>
    <row r="78" spans="1:11" ht="15" customHeight="1" x14ac:dyDescent="0.4">
      <c r="B78" s="73" t="s">
        <v>172</v>
      </c>
      <c r="C78" s="77">
        <f>MAX(Data!C12,0)</f>
        <v>1227278.6666666667</v>
      </c>
      <c r="D78" s="159">
        <f>C78/$C$74</f>
        <v>9.375962912518726E-2</v>
      </c>
      <c r="E78" s="180">
        <f>E74*F78</f>
        <v>1227278.6666666667</v>
      </c>
      <c r="F78" s="160">
        <f>I78</f>
        <v>9.375962912518726E-2</v>
      </c>
      <c r="H78" s="238">
        <f>Inputs!F97</f>
        <v>1227278.6666666667</v>
      </c>
      <c r="I78" s="160">
        <f>H78/$H$74</f>
        <v>9.375962912518726E-2</v>
      </c>
      <c r="K78" s="24"/>
    </row>
    <row r="79" spans="1:11" ht="15" customHeight="1" x14ac:dyDescent="0.4">
      <c r="B79" s="256" t="s">
        <v>232</v>
      </c>
      <c r="C79" s="257">
        <f>C76-C77-C78</f>
        <v>3710793.333333333</v>
      </c>
      <c r="D79" s="258">
        <f>C79/C74</f>
        <v>0.28349112238585644</v>
      </c>
      <c r="E79" s="259">
        <f>E76-E77-E78</f>
        <v>3710793.333333333</v>
      </c>
      <c r="F79" s="258">
        <f>E79/E74</f>
        <v>0.28349112238585644</v>
      </c>
      <c r="G79" s="260"/>
      <c r="H79" s="259">
        <f>H76-H77-H78</f>
        <v>3710793.333333333</v>
      </c>
      <c r="I79" s="258">
        <f>H79/H74</f>
        <v>0.28349112238585644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256</v>
      </c>
      <c r="C81" s="77">
        <f>MAX(Data!C17,0)</f>
        <v>599686</v>
      </c>
      <c r="D81" s="159">
        <f>C81/$C$74</f>
        <v>4.581383061459042E-2</v>
      </c>
      <c r="E81" s="180">
        <f>E74*F81</f>
        <v>599686</v>
      </c>
      <c r="F81" s="160">
        <f>I81</f>
        <v>4.581383061459042E-2</v>
      </c>
      <c r="H81" s="238">
        <f>Inputs!F94</f>
        <v>599686</v>
      </c>
      <c r="I81" s="160">
        <f>H81/$H$74</f>
        <v>4.581383061459042E-2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3111107.333333333</v>
      </c>
      <c r="D83" s="164">
        <f>C83/$C$74</f>
        <v>0.23767729177126601</v>
      </c>
      <c r="E83" s="165">
        <f>E79-E81-E82-E80</f>
        <v>3111107.333333333</v>
      </c>
      <c r="F83" s="164">
        <f>E83/E74</f>
        <v>0.23767729177126601</v>
      </c>
      <c r="H83" s="165">
        <f>H79-H81-H82-H80</f>
        <v>3111107.333333333</v>
      </c>
      <c r="I83" s="164">
        <f>H83/$H$74</f>
        <v>0.23767729177126601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2333330.5</v>
      </c>
      <c r="D85" s="258">
        <f>C85/$C$74</f>
        <v>0.17825796882844952</v>
      </c>
      <c r="E85" s="264">
        <f>E83*(1-F84)</f>
        <v>2333330.5</v>
      </c>
      <c r="F85" s="258">
        <f>E85/E74</f>
        <v>0.17825796882844952</v>
      </c>
      <c r="G85" s="260"/>
      <c r="H85" s="264">
        <f>H83*(1-I84)</f>
        <v>2333330.5</v>
      </c>
      <c r="I85" s="258">
        <f>H85/$H$74</f>
        <v>0.17825796882844952</v>
      </c>
      <c r="K85" s="24"/>
    </row>
    <row r="86" spans="1:11" ht="15" customHeight="1" x14ac:dyDescent="0.4">
      <c r="B86" s="87" t="s">
        <v>160</v>
      </c>
      <c r="C86" s="167">
        <f>C85*Data!C4/Common_Shares</f>
        <v>1.6077456699736805</v>
      </c>
      <c r="D86" s="209"/>
      <c r="E86" s="168">
        <f>E85*Data!C4/Common_Shares</f>
        <v>1.6077456699736805</v>
      </c>
      <c r="F86" s="209"/>
      <c r="H86" s="168">
        <f>H85*Data!C4/Common_Shares</f>
        <v>1.6077456699736805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0.10240418280087138</v>
      </c>
      <c r="D87" s="209"/>
      <c r="E87" s="262">
        <f>E86*Exchange_Rate/Dashboard!G3</f>
        <v>0.10240418280087138</v>
      </c>
      <c r="F87" s="209"/>
      <c r="H87" s="262">
        <f>H86*Exchange_Rate/Dashboard!G3</f>
        <v>0.10240418280087138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1.3499962549695244</v>
      </c>
      <c r="D88" s="166">
        <f>C88/C86</f>
        <v>0.83968271859293786</v>
      </c>
      <c r="E88" s="170">
        <f>Inputs!E98</f>
        <v>1.3499962549695244</v>
      </c>
      <c r="F88" s="166">
        <f>E88/E86</f>
        <v>0.83968271859293786</v>
      </c>
      <c r="H88" s="170">
        <f>Inputs!F98</f>
        <v>1.3499962549695244</v>
      </c>
      <c r="I88" s="166">
        <f>H88/H86</f>
        <v>0.83968271859293786</v>
      </c>
      <c r="K88" s="24"/>
    </row>
    <row r="89" spans="1:11" ht="15" customHeight="1" x14ac:dyDescent="0.4">
      <c r="B89" s="87" t="s">
        <v>221</v>
      </c>
      <c r="C89" s="261">
        <f>C88*Exchange_Rate/Dashboard!G3</f>
        <v>8.5987022609523844E-2</v>
      </c>
      <c r="D89" s="209"/>
      <c r="E89" s="261">
        <f>E88*Exchange_Rate/Dashboard!G3</f>
        <v>8.5987022609523844E-2</v>
      </c>
      <c r="F89" s="209"/>
      <c r="H89" s="261">
        <f>H88*Exchange_Rate/Dashboard!G3</f>
        <v>8.5987022609523844E-2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8.6249999999999993E-2</v>
      </c>
      <c r="D93" s="239">
        <f>Inputs!C86</f>
        <v>5</v>
      </c>
      <c r="E93" s="87" t="s">
        <v>209</v>
      </c>
      <c r="F93" s="144">
        <f>FV(E87,D93,0,-(E86/(C93-D94)))*Exchange_Rate</f>
        <v>39.512610914573578</v>
      </c>
      <c r="H93" s="87" t="s">
        <v>209</v>
      </c>
      <c r="I93" s="144">
        <f>FV(H87,D93,0,-(H86/(C93-D94)))*Exchange_Rate</f>
        <v>39.512610914573578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30.780088113468974</v>
      </c>
      <c r="H94" s="87" t="s">
        <v>210</v>
      </c>
      <c r="I94" s="144">
        <f>FV(H89,D93,0,-(H88/(C93-D94)))*Exchange_Rate</f>
        <v>30.780088113468974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28510539.502847984</v>
      </c>
      <c r="D97" s="213"/>
      <c r="E97" s="123">
        <f>PV(C94,D93,0,-F93)</f>
        <v>19.644750897619268</v>
      </c>
      <c r="F97" s="213"/>
      <c r="H97" s="123">
        <f>PV(C94,D93,0,-I93)</f>
        <v>19.644750897619268</v>
      </c>
      <c r="I97" s="123">
        <f>PV(C93,D93,0,-I93)</f>
        <v>26.126833682509453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28510539.502847984</v>
      </c>
      <c r="D100" s="109">
        <f>MIN(F100*(1-C94),E100)</f>
        <v>16.698038262976379</v>
      </c>
      <c r="E100" s="109">
        <f>MAX(E97+H98+E99,0)</f>
        <v>19.644750897619268</v>
      </c>
      <c r="F100" s="109">
        <f>(E100+H100)/2</f>
        <v>19.644750897619268</v>
      </c>
      <c r="H100" s="109">
        <f>MAX(C100*Data!$C$4/Common_Shares,0)</f>
        <v>19.644750897619268</v>
      </c>
      <c r="I100" s="109">
        <f>MAX(I97+H98+H99,0)</f>
        <v>26.126833682509453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22209540.137893707</v>
      </c>
      <c r="D103" s="109">
        <f>MIN(F103*(1-C94),E103)</f>
        <v>13.007672162380972</v>
      </c>
      <c r="E103" s="123">
        <f>PV(C94,D93,0,-F94)</f>
        <v>15.303143720448203</v>
      </c>
      <c r="F103" s="109">
        <f>(E103+H103)/2</f>
        <v>15.303143720448203</v>
      </c>
      <c r="H103" s="123">
        <f>PV(C94,D93,0,-I94)</f>
        <v>15.303143720448203</v>
      </c>
      <c r="I103" s="109">
        <f>PV(C93,D93,0,-I94)</f>
        <v>20.352647528462342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25360039.820370845</v>
      </c>
      <c r="D106" s="109">
        <f>(D100+D103)/2</f>
        <v>14.852855212678676</v>
      </c>
      <c r="E106" s="123">
        <f>(E100+E103)/2</f>
        <v>17.473947309033736</v>
      </c>
      <c r="F106" s="109">
        <f>(F100+F103)/2</f>
        <v>17.473947309033736</v>
      </c>
      <c r="H106" s="123">
        <f>(H100+H103)/2</f>
        <v>17.473947309033736</v>
      </c>
      <c r="I106" s="123">
        <f>(I100+I103)/2</f>
        <v>23.239740605485899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2024-12-13T09:39:56Z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