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36799CE7-DFC4-6A4C-9D1B-AFFC3F97983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C42" i="3"/>
  <c r="C38" i="3"/>
  <c r="I14" i="3"/>
  <c r="C13" i="3"/>
  <c r="D16" i="2"/>
  <c r="C16" i="2"/>
  <c r="D10" i="2"/>
  <c r="C10" i="2"/>
  <c r="D8" i="2"/>
  <c r="C8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<sst xmlns="http://schemas.openxmlformats.org/spreadsheetml/2006/main" count="253" uniqueCount="232">
  <si>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</si>
  <si>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</si>
  <si>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</si>
  <si>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</si>
  <si>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</si>
  <si>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</si>
  <si>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</si>
  <si>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</si>
  <si>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</si>
  <si>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</si>
  <si>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</si>
  <si>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</si>
  <si>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</si>
  <si>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</si>
  <si>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</si>
  <si>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</si>
  <si>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</si>
  <si>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</si>
  <si>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</si>
  <si>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</si>
  <si>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</si>
  <si>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</si>
  <si>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</si>
  <si>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</si>
  <si>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</si>
  <si>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</si>
  <si>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</si>
  <si>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</si>
  <si>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</si>
  <si>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</si>
  <si>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</si>
  <si>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</si>
  <si>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</si>
  <si>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</si>
  <si>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</si>
  <si>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</si>
  <si>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</si>
  <si>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</si>
  <si>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</si>
  <si>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</si>
  <si>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</si>
  <si>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</si>
  <si>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</si>
  <si>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</si>
  <si>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</si>
  <si>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</si>
  <si>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</si>
  <si>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</si>
  <si>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</si>
  <si>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</si>
  <si>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</si>
  <si>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</si>
  <si>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</si>
  <si>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</si>
  <si>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</si>
  <si>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</si>
  <si>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</si>
  <si>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</si>
  <si>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</si>
  <si>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</si>
  <si>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</si>
  <si>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</si>
  <si>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</si>
  <si>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</si>
  <si>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</si>
  <si>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</si>
  <si>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</si>
  <si>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</si>
  <si>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</si>
  <si>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</si>
  <si>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</si>
  <si>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</si>
  <si>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</si>
  <si>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</si>
  <si>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</si>
  <si>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</si>
  <si>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</si>
  <si>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</si>
  <si>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</si>
  <si>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</si>
  <si>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</si>
  <si>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</si>
  <si>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</si>
  <si>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</si>
  <si>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</si>
  <si>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</si>
  <si>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</si>
  <si>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</si>
  <si>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</si>
  <si>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</si>
  <si>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</si>
  <si>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</si>
  <si>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</si>
  <si>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</si>
  <si>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</si>
  <si>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</si>
  <si>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</si>
  <si>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</si>
  <si>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</si>
  <si>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</si>
  <si>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</si>
  <si>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</si>
  <si>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</si>
  <si>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</si>
  <si>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</si>
  <si>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</si>
  <si>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</si>
  <si>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</si>
  <si>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</si>
  <si>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</si>
  <si>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</si>
  <si>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</si>
  <si>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</si>
  <si>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</si>
  <si>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</si>
  <si>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</si>
  <si>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</si>
  <si>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</si>
  <si>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</si>
  <si>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</si>
  <si>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</si>
  <si>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</si>
  <si>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</si>
  <si>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</si>
  <si>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</si>
  <si>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</si>
  <si>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</si>
  <si>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</si>
  <si>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</si>
  <si>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</si>
  <si>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</si>
  <si>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</si>
  <si>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</si>
  <si>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</si>
  <si>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</si>
  <si>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</si>
  <si>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</si>
  <si>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</si>
  <si>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</si>
  <si>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</si>
  <si>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</si>
  <si>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</si>
  <si>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</si>
  <si>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</si>
  <si>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</si>
  <si>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</si>
  <si>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</si>
  <si>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</si>
  <si>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</si>
  <si>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</si>
  <si>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</si>
  <si>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</si>
  <si>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</si>
  <si>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</si>
  <si>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</si>
  <si>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</si>
  <si>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</si>
  <si>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</si>
  <si>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</si>
  <si>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</si>
  <si>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</si>
  <si>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</si>
  <si>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</si>
  <si>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</si>
  <si>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</si>
  <si>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</si>
  <si>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</si>
  <si>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</si>
  <si>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</si>
  <si>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</si>
  <si>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</si>
  <si>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</si>
  <si>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</si>
  <si>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</si>
  <si>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</si>
  <si>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</si>
  <si>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</si>
  <si>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</si>
  <si>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</si>
  <si>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</si>
  <si>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</si>
  <si>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</si>
  <si>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</si>
  <si>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</si>
  <si>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</si>
  <si>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</si>
  <si>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</si>
  <si>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</si>
  <si>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</si>
  <si>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</si>
  <si>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</si>
  <si>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</si>
  <si>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</si>
  <si>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</si>
  <si>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</si>
  <si>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</si>
  <si>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</si>
  <si>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</si>
  <si>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</si>
  <si>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</si>
  <si>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</si>
  <si>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</si>
  <si>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</si>
  <si>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</si>
  <si>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</si>
  <si>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</si>
  <si>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</si>
  <si>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</si>
  <si>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</si>
  <si>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</si>
  <si>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</si>
  <si>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</si>
  <si>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</si>
  <si>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</si>
  <si>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</si>
  <si>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</si>
  <si>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</si>
  <si>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</si>
  <si>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</si>
  <si>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</si>
  <si>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</si>
  <si>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</si>
  <si>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</si>
  <si>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</si>
  <si>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</si>
  <si>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</si>
  <si>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</si>
  <si>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</si>
  <si>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中國石油股份</t>
  </si>
  <si>
    <t>0857.HK</t>
  </si>
  <si>
    <t>Dividend</t>
  </si>
  <si>
    <t>C0013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</si>
</sst>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</cellXfs>
  <cellStyles count="3">
    <cellStyle name="Comma" xfId="1" builtinId="3"/>
    <cellStyle name="Hyperlink" xfId="2" builtinId="8"/>
    <cellStyle name="Normal" xfId="0" builtinId="0"/>
  </cellStyles>
  <dxfs count="1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0857.HK : 中國石油股份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1" t="s">
        <v>229</v>
      </c>
      <c r="D3" s="202"/>
      <c r="E3" s="94"/>
      <c r="F3" s="3" t="s">
        <v>1</v>
      </c>
      <c r="G3" s="169">
        <v>5.72</v>
      </c>
      <c r="H3" s="171" t="s">
        <v>2</v>
      </c>
    </row>
    <row r="4" spans="1:10" ht="15.75" customHeight="1" x14ac:dyDescent="0.25">
      <c r="B4" s="35" t="s">
        <v>217</v>
      </c>
      <c r="C4" s="203" t="s">
        <v>228</v>
      </c>
      <c r="D4" s="204"/>
      <c r="E4" s="94"/>
      <c r="F4" s="3" t="s">
        <v>3</v>
      </c>
      <c r="G4" s="207">
        <v>183020977818</v>
      </c>
      <c r="H4" s="207"/>
      <c r="I4" s="39"/>
    </row>
    <row r="5" spans="1:10" ht="15.75" customHeight="1" x14ac:dyDescent="0.15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1046879.9931189599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15">
      <c r="B7" s="93" t="s">
        <v>214</v>
      </c>
      <c r="C7" s="186" t="s">
        <v>46</v>
      </c>
      <c r="D7" s="192" t="s">
        <v>231</v>
      </c>
      <c r="E7" s="94"/>
      <c r="F7" s="35" t="s">
        <v>6</v>
      </c>
      <c r="G7" s="170">
        <v>1.1000000000000001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212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2.0799999999999999E-2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8.7999999999999995E-2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0.86263355974668987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-4.0574066127933066E-2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7.9916652607163307E-3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0.10112081917973094</v>
      </c>
      <c r="F23" s="178" t="s">
        <v>209</v>
      </c>
      <c r="G23" s="184">
        <f>G3/(Data!C34*Data!E3/Common_Shares*Exchange_Rate)</f>
        <v>0.56711699389364378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0.16331828970254442</v>
      </c>
    </row>
    <row r="25" spans="1:8" ht="15.75" customHeight="1" x14ac:dyDescent="0.15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0.52987611917854494</v>
      </c>
    </row>
    <row r="26" spans="1:8" ht="15.75" customHeight="1" x14ac:dyDescent="0.15">
      <c r="B26" s="176" t="s">
        <v>191</v>
      </c>
      <c r="C26" s="175">
        <f>Fin_Analysis!F83</f>
        <v>6.8828021940795986E-2</v>
      </c>
      <c r="F26" s="180" t="s">
        <v>215</v>
      </c>
      <c r="G26" s="179">
        <f>Fin_Analysis!E87*Exchange_Rate/G3</f>
        <v>8.653846153846155E-2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5.459558823529413</v>
      </c>
      <c r="D29" s="165">
        <f>IF(Fin_Analysis!C106="Profit",Fin_Analysis!F98,IF(Fin_Analysis!C106="Dividend",Fin_Analysis!F101,Fin_Analysis!F104))</f>
        <v>9.099264705882355</v>
      </c>
      <c r="E29" s="94"/>
      <c r="F29" s="167">
        <f>IF(Fin_Analysis!C106="Profit",Fin_Analysis!D98,IF(Fin_Analysis!C106="Dividend",Fin_Analysis!D101,Fin_Analysis!D104))</f>
        <v>7.279411764705884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4">
      <formula>LEN(TRIM(C11))=0</formula>
    </cfRule>
  </conditionalFormatting>
  <conditionalFormatting sqref="D12">
    <cfRule type="containsBlanks" dxfId="14" priority="2">
      <formula>LEN(TRIM(D12))=0</formula>
    </cfRule>
  </conditionalFormatting>
  <conditionalFormatting sqref="D17">
    <cfRule type="containsBlanks" dxfId="13" priority="1">
      <formula>LEN(TRIM(D17))=0</formula>
    </cfRule>
  </conditionalFormatting>
  <conditionalFormatting sqref="E28">
    <cfRule type="cellIs" dxfId="12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3011012</v>
      </c>
      <c r="D6" s="58">
        <v>3239167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-7.0436318967191269E-2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2302385+295015</f>
        <v>2597400</v>
      </c>
      <c r="D8" s="92">
        <f>2527935+276821</f>
        <v>2804756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413612</v>
      </c>
      <c r="D9" s="101">
        <f t="shared" si="2"/>
        <v>434411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70260+55023</f>
        <v>125283</v>
      </c>
      <c r="D10" s="92">
        <f>68352+50523</f>
        <v>118875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8.2182336038514631E-2</v>
      </c>
      <c r="D11" s="97">
        <f t="shared" si="3"/>
        <v>7.3486794598734792E-2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247452</v>
      </c>
      <c r="D12" s="92">
        <v>238036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535781</v>
      </c>
      <c r="D13" s="101">
        <f t="shared" ref="D13:M13" si="4">IF(D6="","",(D9-D10+D12))</f>
        <v>553572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21957</v>
      </c>
      <c r="D14" s="92">
        <v>20016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282519</v>
      </c>
      <c r="D15" s="92">
        <v>243752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f>14659+19193-40366-6591</f>
        <v>-13105</v>
      </c>
      <c r="D16" s="92">
        <f>20127+32470-7504+1144</f>
        <v>46237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24063</v>
      </c>
      <c r="D17" s="92">
        <v>21554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20681</v>
      </c>
      <c r="D18" s="92">
        <v>20705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179667.33333333334</v>
      </c>
      <c r="D19" s="95">
        <f>IF(D6="","",D13-D14-MAX(D15,0)-MAX(D16,0)-D17-MAX(D18/(1-Fin_Analysis!$F$84),0))</f>
        <v>194406.33333333334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-7.5815431253097032E-2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4.4752561597230435E-2</v>
      </c>
      <c r="D21" s="56">
        <f t="shared" si="6"/>
        <v>4.5013038846098398E-2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134750.5</v>
      </c>
      <c r="D22" s="95">
        <f>IF(D6="","",D19*(1-Fin_Analysis!$F$84))</f>
        <v>145804.75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-7.5815431253097032E-2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2768297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672371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142879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182674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716641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373503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52418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81126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133544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1678153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188249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541381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2226916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8.0679887940691669E-2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0.86263355974668987</v>
      </c>
      <c r="D40" s="61">
        <f t="shared" si="21"/>
        <v>0.86588805084764076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-4.0574066127933066E-2</v>
      </c>
      <c r="D41" s="56">
        <f t="shared" si="22"/>
        <v>-3.6787544452014979E-2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0.10112081917973094</v>
      </c>
      <c r="D42" s="56">
        <f t="shared" si="23"/>
        <v>8.1430812304521497E-2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1.4274348929832885E-2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7.9916652607163307E-3</v>
      </c>
      <c r="D44" s="56">
        <f t="shared" si="25"/>
        <v>6.6541799172441553E-3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9.1579398111554088E-3</v>
      </c>
      <c r="D45" s="56">
        <f>IF(D6="","",MAX(D18,0)/(1-Fin_Analysis!$F$84)/D6)</f>
        <v>8.522767324644475E-3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5.9670082129640582E-2</v>
      </c>
      <c r="D46" s="56">
        <f t="shared" si="26"/>
        <v>6.00173851281312E-2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4.7452152299625509E-2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6.0668638982508204E-2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0.39379589689979072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1.3453793007048864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0.13393085739941596</v>
      </c>
      <c r="D53" s="56">
        <f t="shared" si="31"/>
        <v>0.11087087354835833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0.93822569459464367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7:M7 C25:M38 E6:M6 C9:M9 E8:M8 C11:M11 E10:M10 C13:M13 E12:M12 C19:M21 E14:M18">
    <cfRule type="containsBlanks" dxfId="11" priority="8">
      <formula>LEN(TRIM(C6))=0</formula>
    </cfRule>
  </conditionalFormatting>
  <conditionalFormatting sqref="C23:M23">
    <cfRule type="containsBlanks" dxfId="10" priority="7">
      <formula>LEN(TRIM(C23))=0</formula>
    </cfRule>
  </conditionalFormatting>
  <conditionalFormatting sqref="D22:M22">
    <cfRule type="containsBlanks" dxfId="9" priority="6">
      <formula>LEN(TRIM(D22))=0</formula>
    </cfRule>
  </conditionalFormatting>
  <conditionalFormatting sqref="C6:D6">
    <cfRule type="containsBlanks" dxfId="4" priority="5">
      <formula>LEN(TRIM(C6))=0</formula>
    </cfRule>
  </conditionalFormatting>
  <conditionalFormatting sqref="C8:D8">
    <cfRule type="containsBlanks" dxfId="3" priority="4">
      <formula>LEN(TRIM(C8))=0</formula>
    </cfRule>
  </conditionalFormatting>
  <conditionalFormatting sqref="C10:D10">
    <cfRule type="containsBlanks" dxfId="2" priority="3">
      <formula>LEN(TRIM(C10))=0</formula>
    </cfRule>
  </conditionalFormatting>
  <conditionalFormatting sqref="C12:D12">
    <cfRule type="containsBlanks" dxfId="1" priority="2">
      <formula>LEN(TRIM(C12))=0</formula>
    </cfRule>
  </conditionalFormatting>
  <conditionalFormatting sqref="C14:D18">
    <cfRule type="containsBlanks" dxfId="0" priority="1">
      <formula>LEN(TRIM(C14))=0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99" sqref="C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1678153</v>
      </c>
      <c r="E3" s="73" t="str">
        <f>IF((C49-I49)=D3,"", "Error!")</f>
        <v/>
      </c>
      <c r="F3" s="94"/>
      <c r="G3" s="94"/>
      <c r="H3" s="47" t="s">
        <v>24</v>
      </c>
      <c r="I3" s="59">
        <v>1489904</v>
      </c>
      <c r="K3" s="24"/>
    </row>
    <row r="4" spans="1:11" ht="15" customHeight="1" x14ac:dyDescent="0.15">
      <c r="B4" s="3" t="s">
        <v>25</v>
      </c>
      <c r="C4" s="94"/>
      <c r="D4" s="69">
        <f>D3-I3</f>
        <v>188249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0.93822569459464367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-661295.03</v>
      </c>
      <c r="E6" s="56">
        <f>1-D6/D3</f>
        <v>1.3940612268368855</v>
      </c>
      <c r="F6" s="94"/>
      <c r="G6" s="94"/>
      <c r="H6" s="1" t="s">
        <v>30</v>
      </c>
      <c r="I6" s="67">
        <f>(C24+C25)/I28</f>
        <v>0.59772187189959824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0.54651352629838368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238880</v>
      </c>
      <c r="D11" s="64">
        <v>1</v>
      </c>
      <c r="E11" s="95">
        <f t="shared" ref="E11:E21" si="0">C11*D11</f>
        <v>238880</v>
      </c>
      <c r="F11" s="127"/>
      <c r="G11" s="94"/>
      <c r="H11" s="3" t="s">
        <v>39</v>
      </c>
      <c r="I11" s="63">
        <v>40594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/>
      <c r="J12" s="94"/>
      <c r="K12" s="24"/>
    </row>
    <row r="13" spans="1:11" ht="14" x14ac:dyDescent="0.15">
      <c r="B13" s="3" t="s">
        <v>121</v>
      </c>
      <c r="C13" s="63">
        <f>90108+11142+41629</f>
        <v>142879</v>
      </c>
      <c r="D13" s="64">
        <v>0.8</v>
      </c>
      <c r="E13" s="95">
        <f t="shared" si="0"/>
        <v>114303.20000000001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9895</v>
      </c>
      <c r="D14" s="64">
        <v>0.3</v>
      </c>
      <c r="E14" s="95">
        <f>C14*D14</f>
        <v>2968.5</v>
      </c>
      <c r="F14" s="127"/>
      <c r="G14" s="94"/>
      <c r="H14" s="93" t="s">
        <v>43</v>
      </c>
      <c r="I14" s="144">
        <f>4685+7139</f>
        <v>11824</v>
      </c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52418</v>
      </c>
      <c r="J15" s="94"/>
    </row>
    <row r="16" spans="1:11" ht="14" x14ac:dyDescent="0.15">
      <c r="B16" s="1" t="s">
        <v>172</v>
      </c>
      <c r="C16" s="63">
        <v>11851</v>
      </c>
      <c r="D16" s="64">
        <v>0.5</v>
      </c>
      <c r="E16" s="95">
        <f t="shared" si="0"/>
        <v>5925.5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24847</v>
      </c>
      <c r="D17" s="64">
        <v>0.1</v>
      </c>
      <c r="E17" s="95">
        <f t="shared" si="0"/>
        <v>2484.7000000000003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182674</v>
      </c>
      <c r="D18" s="64">
        <v>0.5</v>
      </c>
      <c r="E18" s="95">
        <f t="shared" si="0"/>
        <v>91337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61345</v>
      </c>
      <c r="D22" s="64">
        <v>0.2</v>
      </c>
      <c r="E22" s="95">
        <f t="shared" ref="E22" si="1">C22*D22</f>
        <v>12269</v>
      </c>
      <c r="F22" s="127"/>
      <c r="G22" s="94"/>
      <c r="H22" s="3" t="s">
        <v>45</v>
      </c>
      <c r="I22" s="52">
        <f>I28-SUM(I11:I14)</f>
        <v>664223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391654</v>
      </c>
      <c r="D24" s="66">
        <f>IF(E24=0,0,E24/C24)</f>
        <v>0.90935289822138932</v>
      </c>
      <c r="E24" s="95">
        <f>SUM(E11:E14)</f>
        <v>356151.7</v>
      </c>
      <c r="F24" s="129">
        <f>E24/$E$28</f>
        <v>0.76073498417982099</v>
      </c>
      <c r="G24" s="94"/>
    </row>
    <row r="25" spans="2:10" ht="15" customHeight="1" x14ac:dyDescent="0.15">
      <c r="B25" s="23" t="s">
        <v>55</v>
      </c>
      <c r="C25" s="65">
        <f>SUM(C15:C17)</f>
        <v>36698</v>
      </c>
      <c r="D25" s="66">
        <f>IF(E25=0,0,E25/C25)</f>
        <v>0.22917325194833507</v>
      </c>
      <c r="E25" s="95">
        <f>SUM(E15:E17)</f>
        <v>8410.2000000000007</v>
      </c>
      <c r="F25" s="129">
        <f t="shared" ref="F25:F27" si="2">E25/$E$28</f>
        <v>1.7964068019187134E-2</v>
      </c>
      <c r="G25" s="94"/>
      <c r="H25" s="23" t="s">
        <v>56</v>
      </c>
      <c r="I25" s="67">
        <f>E28/I28</f>
        <v>0.65328093145661503</v>
      </c>
    </row>
    <row r="26" spans="2:10" ht="15" customHeight="1" x14ac:dyDescent="0.15">
      <c r="B26" s="23" t="s">
        <v>57</v>
      </c>
      <c r="C26" s="65">
        <f>C18+C19+C20</f>
        <v>182674</v>
      </c>
      <c r="D26" s="66">
        <f t="shared" ref="D26:D27" si="3">IF(E26=0,0,E26/C26)</f>
        <v>0.5</v>
      </c>
      <c r="E26" s="95">
        <f>E18+E19+E20</f>
        <v>91337</v>
      </c>
      <c r="F26" s="129">
        <f t="shared" si="2"/>
        <v>0.19509453766479931</v>
      </c>
      <c r="G26" s="94"/>
      <c r="H26" s="23" t="s">
        <v>58</v>
      </c>
      <c r="I26" s="67">
        <f>E24/($I$28-I22)</f>
        <v>6.7944541951238122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61345</v>
      </c>
      <c r="D27" s="66">
        <f t="shared" si="3"/>
        <v>0.2</v>
      </c>
      <c r="E27" s="95">
        <f>E21+E22</f>
        <v>12269</v>
      </c>
      <c r="F27" s="129">
        <f t="shared" si="2"/>
        <v>2.6206410136192591E-2</v>
      </c>
      <c r="G27" s="94"/>
      <c r="H27" s="23" t="s">
        <v>60</v>
      </c>
      <c r="I27" s="67">
        <f>(E25+E24)/$I$28</f>
        <v>0.50870924214495128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672371</v>
      </c>
      <c r="D28" s="61">
        <f t="shared" ref="D28" si="4">E28/C28</f>
        <v>0.69629401030086069</v>
      </c>
      <c r="E28" s="76">
        <f>SUM(E24:E27)</f>
        <v>468167.9</v>
      </c>
      <c r="F28" s="127"/>
      <c r="G28" s="94"/>
      <c r="H28" s="85" t="s">
        <v>16</v>
      </c>
      <c r="I28" s="72">
        <v>716641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>
        <v>70126</v>
      </c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/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>
        <v>693</v>
      </c>
      <c r="D33" s="64">
        <v>0.5</v>
      </c>
      <c r="E33" s="95">
        <f t="shared" si="5"/>
        <v>346.5</v>
      </c>
      <c r="F33" s="127"/>
      <c r="G33" s="30">
        <f>IF(F33="Y",0,1)</f>
        <v>1</v>
      </c>
      <c r="H33" s="93" t="s">
        <v>67</v>
      </c>
      <c r="I33" s="144">
        <v>11000</v>
      </c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81126</v>
      </c>
      <c r="J34" s="94"/>
    </row>
    <row r="35" spans="2:10" ht="14" x14ac:dyDescent="0.15">
      <c r="B35" s="3" t="s">
        <v>70</v>
      </c>
      <c r="C35" s="63">
        <v>292606</v>
      </c>
      <c r="D35" s="64">
        <v>0.1</v>
      </c>
      <c r="E35" s="95">
        <f t="shared" si="5"/>
        <v>29260.600000000002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201156</v>
      </c>
      <c r="D37" s="64">
        <v>0.05</v>
      </c>
      <c r="E37" s="95">
        <f>C37*D37</f>
        <v>10057.800000000001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f>458868+831001+123479</f>
        <v>1413348</v>
      </c>
      <c r="D38" s="64">
        <v>0.1</v>
      </c>
      <c r="E38" s="95">
        <f>C38*D38</f>
        <v>141334.80000000002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91529</v>
      </c>
      <c r="D40" s="64">
        <v>0.05</v>
      </c>
      <c r="E40" s="95">
        <f t="shared" si="5"/>
        <v>4576.45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24707</v>
      </c>
      <c r="D41" s="64">
        <v>0.95</v>
      </c>
      <c r="E41" s="95">
        <f t="shared" si="5"/>
        <v>23471.649999999998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f>7476+13153+51258</f>
        <v>71887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292377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293299</v>
      </c>
      <c r="D45" s="66">
        <f>IF(E45=0,0,E45/C45)</f>
        <v>0.10094511062090222</v>
      </c>
      <c r="E45" s="95">
        <f>SUM(E32:E35)</f>
        <v>29607.100000000002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1614504</v>
      </c>
      <c r="D46" s="66">
        <f t="shared" ref="D46:D47" si="6">IF(E46=0,0,E46/C46)</f>
        <v>9.377034680620179E-2</v>
      </c>
      <c r="E46" s="95">
        <f>E36+E37+E38+E39</f>
        <v>151392.6</v>
      </c>
      <c r="F46" s="94"/>
      <c r="G46" s="94"/>
      <c r="H46" s="23" t="s">
        <v>81</v>
      </c>
      <c r="I46" s="67">
        <f>(E44+E24)/E64</f>
        <v>2.6669240100640987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188123</v>
      </c>
      <c r="D47" s="66">
        <f t="shared" si="6"/>
        <v>0.14909447542299453</v>
      </c>
      <c r="E47" s="95">
        <f>E40+E41+E42</f>
        <v>28048.1</v>
      </c>
      <c r="F47" s="94"/>
      <c r="G47" s="94"/>
      <c r="H47" s="23" t="s">
        <v>83</v>
      </c>
      <c r="I47" s="67">
        <f>(E44+E45+E24+E25)/$I$49</f>
        <v>0.36157516805119322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84</v>
      </c>
      <c r="C48" s="88">
        <f>SUM(C30:C42)</f>
        <v>2095926</v>
      </c>
      <c r="D48" s="89">
        <f>E48/C48</f>
        <v>9.9740067158859622E-2</v>
      </c>
      <c r="E48" s="83">
        <f>SUM(E30:E42)</f>
        <v>209047.80000000002</v>
      </c>
      <c r="F48" s="94"/>
      <c r="G48" s="94"/>
      <c r="H48" s="87" t="s">
        <v>85</v>
      </c>
      <c r="I48" s="90">
        <v>373503</v>
      </c>
      <c r="J48" s="8"/>
    </row>
    <row r="49" spans="2:10" ht="15" customHeight="1" thickTop="1" x14ac:dyDescent="0.15">
      <c r="B49" s="3" t="s">
        <v>14</v>
      </c>
      <c r="C49" s="65">
        <f>C28+C48</f>
        <v>2768297</v>
      </c>
      <c r="D49" s="56">
        <f>E49/C49</f>
        <v>0.24463260264343026</v>
      </c>
      <c r="E49" s="95">
        <f>E28+E48</f>
        <v>677215.70000000007</v>
      </c>
      <c r="F49" s="94"/>
      <c r="G49" s="94"/>
      <c r="H49" s="3" t="s">
        <v>86</v>
      </c>
      <c r="I49" s="52">
        <f>I28+I48</f>
        <v>1090144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188249</v>
      </c>
      <c r="D53" s="29">
        <f>IF(E53=0, 0,E53/C53)</f>
        <v>1</v>
      </c>
      <c r="E53" s="95">
        <f>MAX(C53,C53*Dashboard!G23)</f>
        <v>188249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1">
        <f>I15+I34</f>
        <v>133544</v>
      </c>
      <c r="E56" s="212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302501</v>
      </c>
      <c r="D61" s="56">
        <f t="shared" ref="D61:D70" si="7">IF(E61=0,0,E61/C61)</f>
        <v>0.10654212713346403</v>
      </c>
      <c r="E61" s="52">
        <f>E14+E15+(E19*G19)+(E20*G20)+E31+E32+(E35*G35)+(E36*G36)+(E37*G37)</f>
        <v>32229.100000000002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238880</v>
      </c>
      <c r="D62" s="122">
        <f t="shared" si="7"/>
        <v>1</v>
      </c>
      <c r="E62" s="142">
        <f>E11+E30</f>
        <v>238880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541381</v>
      </c>
      <c r="D63" s="29">
        <f t="shared" si="7"/>
        <v>0.50077320777788648</v>
      </c>
      <c r="E63" s="65">
        <f>E61+E62</f>
        <v>271109.09999999998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133544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407837</v>
      </c>
      <c r="D65" s="29">
        <f t="shared" si="7"/>
        <v>0.33730411904756064</v>
      </c>
      <c r="E65" s="65">
        <f>E63-E64</f>
        <v>137565.09999999998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2226916</v>
      </c>
      <c r="D68" s="29">
        <f t="shared" si="7"/>
        <v>0.18236278332905242</v>
      </c>
      <c r="E68" s="74">
        <f>E49-E63</f>
        <v>406106.60000000009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956600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1270316</v>
      </c>
      <c r="D70" s="29">
        <f t="shared" si="7"/>
        <v>-0.4333515440252661</v>
      </c>
      <c r="E70" s="74">
        <f>E68-E69</f>
        <v>-550493.39999999991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15">
      <c r="B74" s="3" t="s">
        <v>136</v>
      </c>
      <c r="C74" s="95">
        <f>Data!C6</f>
        <v>3011012</v>
      </c>
      <c r="D74" s="130"/>
      <c r="E74" s="148">
        <f>C74</f>
        <v>3011012</v>
      </c>
      <c r="F74" s="130"/>
    </row>
    <row r="75" spans="1:9" ht="15" customHeight="1" x14ac:dyDescent="0.15">
      <c r="B75" s="117" t="s">
        <v>109</v>
      </c>
      <c r="C75" s="95">
        <f>Data!C8</f>
        <v>2597400</v>
      </c>
      <c r="D75" s="131">
        <f>C75/$C$74</f>
        <v>0.86263355974668987</v>
      </c>
      <c r="E75" s="148">
        <f>D75*E74</f>
        <v>2597400</v>
      </c>
      <c r="F75" s="149">
        <f>E75/$E$74</f>
        <v>0.86263355974668987</v>
      </c>
    </row>
    <row r="76" spans="1:9" ht="15" customHeight="1" x14ac:dyDescent="0.15">
      <c r="B76" s="35" t="s">
        <v>96</v>
      </c>
      <c r="C76" s="118">
        <f>C74-C75</f>
        <v>413612</v>
      </c>
      <c r="D76" s="132"/>
      <c r="E76" s="150">
        <f>E74-E75</f>
        <v>413612</v>
      </c>
      <c r="F76" s="132"/>
    </row>
    <row r="77" spans="1:9" ht="15" customHeight="1" x14ac:dyDescent="0.15">
      <c r="B77" s="117" t="s">
        <v>133</v>
      </c>
      <c r="C77" s="95">
        <f>Data!C10-Data!C12</f>
        <v>-122169</v>
      </c>
      <c r="D77" s="131">
        <f>C77/$C$74</f>
        <v>-4.0574066127933066E-2</v>
      </c>
      <c r="E77" s="148">
        <f>D77*E74</f>
        <v>-122169</v>
      </c>
      <c r="F77" s="149">
        <f>E77/$E$74</f>
        <v>-4.0574066127933066E-2</v>
      </c>
    </row>
    <row r="78" spans="1:9" ht="15" customHeight="1" x14ac:dyDescent="0.15">
      <c r="B78" s="35" t="s">
        <v>97</v>
      </c>
      <c r="C78" s="118">
        <f>C76-C77</f>
        <v>535781</v>
      </c>
      <c r="D78" s="132"/>
      <c r="E78" s="150">
        <f>E76-E77</f>
        <v>535781</v>
      </c>
      <c r="F78" s="132"/>
    </row>
    <row r="79" spans="1:9" ht="15" customHeight="1" x14ac:dyDescent="0.15">
      <c r="B79" s="117" t="s">
        <v>129</v>
      </c>
      <c r="C79" s="95">
        <f>Data!C17</f>
        <v>24063</v>
      </c>
      <c r="D79" s="131">
        <f>C79/$C$74</f>
        <v>7.9916652607163307E-3</v>
      </c>
      <c r="E79" s="148">
        <f>C79</f>
        <v>24063</v>
      </c>
      <c r="F79" s="149">
        <f>E79/$E$74</f>
        <v>7.9916652607163307E-3</v>
      </c>
    </row>
    <row r="80" spans="1:9" ht="15" customHeight="1" x14ac:dyDescent="0.15">
      <c r="B80" s="28" t="s">
        <v>135</v>
      </c>
      <c r="C80" s="95">
        <f>Data!C14+MAX(Data!C15,0)</f>
        <v>304476</v>
      </c>
      <c r="D80" s="131">
        <f>C80/$C$74</f>
        <v>0.10112081917973094</v>
      </c>
      <c r="E80" s="148">
        <f>D80*E74</f>
        <v>304476</v>
      </c>
      <c r="F80" s="149">
        <f t="shared" ref="F80:F83" si="8">E80/$E$74</f>
        <v>0.10112081917973094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20681</v>
      </c>
      <c r="D82" s="131">
        <f>C82/$C$74</f>
        <v>6.8684548583665562E-3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186561</v>
      </c>
      <c r="D83" s="133">
        <f>C83/$C$74</f>
        <v>6.1959567082429431E-2</v>
      </c>
      <c r="E83" s="151">
        <f>E78-E79-E80-E81-E82</f>
        <v>207242</v>
      </c>
      <c r="F83" s="135">
        <f t="shared" si="8"/>
        <v>6.8828021940795986E-2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139920.75</v>
      </c>
      <c r="D85" s="135">
        <f>C85/$C$74</f>
        <v>4.646967531182207E-2</v>
      </c>
      <c r="E85" s="153">
        <f>E83*(1-F84)</f>
        <v>155431.5</v>
      </c>
      <c r="F85" s="135">
        <f>E85/$E$74</f>
        <v>5.1621016455596989E-2</v>
      </c>
    </row>
    <row r="86" spans="1:8" ht="15" customHeight="1" x14ac:dyDescent="0.15">
      <c r="B86" s="94" t="s">
        <v>174</v>
      </c>
      <c r="C86" s="159">
        <f>C85*Data!E3/Common_Shares</f>
        <v>0.7645066246949036</v>
      </c>
      <c r="D86" s="130"/>
      <c r="E86" s="161">
        <f>E85*Data!E3/Common_Shares</f>
        <v>0.84925510645323088</v>
      </c>
      <c r="F86" s="130"/>
    </row>
    <row r="87" spans="1:8" ht="15" customHeight="1" x14ac:dyDescent="0.15">
      <c r="B87" s="93" t="s">
        <v>175</v>
      </c>
      <c r="C87" s="162">
        <f>0.22+0.23</f>
        <v>0.45</v>
      </c>
      <c r="D87" s="135">
        <f>C87/C86</f>
        <v>0.58861491249939701</v>
      </c>
      <c r="E87" s="160">
        <f>C87</f>
        <v>0.45</v>
      </c>
      <c r="F87" s="135">
        <f>E87/E86</f>
        <v>0.52987611917854494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3" t="s">
        <v>170</v>
      </c>
      <c r="E90" s="213"/>
      <c r="G90" s="94"/>
      <c r="H90" s="24"/>
    </row>
    <row r="91" spans="1:8" ht="15" customHeight="1" x14ac:dyDescent="0.15">
      <c r="B91" s="1" t="s">
        <v>192</v>
      </c>
      <c r="C91" s="64" t="s">
        <v>226</v>
      </c>
      <c r="D91" s="214" t="s">
        <v>219</v>
      </c>
      <c r="E91" s="214"/>
      <c r="F91" s="29">
        <f>E86*Exchange_Rate/Dashboard!G3</f>
        <v>0.16331828970254442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8.7999999999999995E-2</v>
      </c>
      <c r="D92" s="194">
        <v>5</v>
      </c>
      <c r="E92" s="94" t="s">
        <v>220</v>
      </c>
      <c r="F92" s="193">
        <f>FV(F91,D92,0,-(E86/C92))</f>
        <v>20.561191378147562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15">
      <c r="B95" s="1" t="s">
        <v>140</v>
      </c>
      <c r="C95" s="102">
        <f>D95*Common_Shares/Data!E3</f>
        <v>2715172.0542967701</v>
      </c>
      <c r="D95" s="154">
        <f>PV(C92,D92,0,-F92)*Exchange_Rate</f>
        <v>14.835305147351992</v>
      </c>
      <c r="E95" s="154">
        <f>PV(15%,D92,0,-F92)*Exchange_Rate</f>
        <v>11.244800603553827</v>
      </c>
      <c r="H95" s="24"/>
    </row>
    <row r="96" spans="1:8" ht="15" customHeight="1" x14ac:dyDescent="0.15">
      <c r="B96" s="28" t="s">
        <v>157</v>
      </c>
      <c r="C96" s="102">
        <f>E53*Exchange_Rate</f>
        <v>207073.90000000002</v>
      </c>
      <c r="D96" s="154">
        <f>C96*Data!$E$3/Common_Shares</f>
        <v>1.1314216679899873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-454221.12999999995</v>
      </c>
      <c r="D97" s="197">
        <f>C97*Data!$E$3/Common_Shares</f>
        <v>-2.4817981819094377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2053877.0242967703</v>
      </c>
      <c r="D98" s="124">
        <f>MAX(C98*Data!$E$3/Common_Shares,0)</f>
        <v>11.222085297452567</v>
      </c>
      <c r="E98" s="124">
        <f>E95*Exchange_Rate-D96+D97</f>
        <v>8.7560608140097838</v>
      </c>
      <c r="F98" s="124">
        <f>D98*1.25</f>
        <v>14.027606621815709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1332285.0591163237</v>
      </c>
      <c r="D101" s="154">
        <f>E87/(C92-2%)*Exchange_Rate</f>
        <v>7.279411764705884</v>
      </c>
      <c r="E101" s="124">
        <f>D101*(1-25%)</f>
        <v>5.459558823529413</v>
      </c>
      <c r="F101" s="124">
        <f>D101*1.25</f>
        <v>9.099264705882355</v>
      </c>
      <c r="H101" s="24" t="s">
        <v>221</v>
      </c>
    </row>
    <row r="102" spans="2:8" ht="15" customHeight="1" x14ac:dyDescent="0.15">
      <c r="H102" s="24"/>
    </row>
    <row r="103" spans="2:8" ht="15" customHeight="1" x14ac:dyDescent="0.15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225</v>
      </c>
      <c r="C104" s="102">
        <f>D104*Common_Shares/Data!E3</f>
        <v>1693081.0417065469</v>
      </c>
      <c r="D104" s="154">
        <f>(D98+D101)/2</f>
        <v>9.2507485310792248</v>
      </c>
      <c r="E104" s="124">
        <f>D104*(1-25%)</f>
        <v>6.9380613983094186</v>
      </c>
      <c r="F104" s="124">
        <f>D104*1.25</f>
        <v>11.563435663849031</v>
      </c>
    </row>
    <row r="106" spans="2:8" ht="15" customHeight="1" x14ac:dyDescent="0.15">
      <c r="B106" s="10" t="s">
        <v>180</v>
      </c>
      <c r="C106" s="164" t="s">
        <v>230</v>
      </c>
    </row>
  </sheetData>
  <mergeCells count="8">
    <mergeCell ref="D90:E90"/>
    <mergeCell ref="D91:E91"/>
    <mergeCell ref="C73:D73"/>
    <mergeCell ref="C72:D72"/>
    <mergeCell ref="E73:F73"/>
    <mergeCell ref="D56:E56"/>
    <mergeCell ref="D57:E57"/>
    <mergeCell ref="D58:E58"/>
  </mergeCells>
  <phoneticPr fontId="20" type="noConversion"/>
  <conditionalFormatting sqref="C86:C87">
    <cfRule type="containsBlanks" dxfId="8" priority="5">
      <formula>LEN(TRIM(C86))=0</formula>
    </cfRule>
  </conditionalFormatting>
  <conditionalFormatting sqref="C106">
    <cfRule type="containsBlanks" dxfId="7" priority="2">
      <formula>LEN(TRIM(C106))=0</formula>
    </cfRule>
  </conditionalFormatting>
  <conditionalFormatting sqref="E74:E82 F84">
    <cfRule type="containsBlanks" dxfId="6" priority="9">
      <formula>LEN(TRIM(E74))=0</formula>
    </cfRule>
  </conditionalFormatting>
  <conditionalFormatting sqref="E87">
    <cfRule type="containsBlanks" dxfId="5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2024-11-09T02:27:41Z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