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F9DB1B99-A8B9-4F83-89D7-014BB545DD9C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2" i="2" l="1"/>
  <c r="G52" i="2"/>
  <c r="H52" i="2"/>
  <c r="I52" i="2"/>
  <c r="J52" i="2"/>
  <c r="K52" i="2"/>
  <c r="L52" i="2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F92" i="4"/>
  <c r="H75" i="3" s="1"/>
  <c r="H77" i="3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<sst xmlns="http://schemas.openxmlformats.org/spreadsheetml/2006/main" count="391" uniqueCount="269">
  <si>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</si>
  <si>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</si>
  <si>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</si>
  <si>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</si>
  <si>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</si>
  <si>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</si>
  <si>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</si>
  <si>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</si>
  <si>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</si>
  <si>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</si>
  <si>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</si>
  <si>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</si>
  <si>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</si>
  <si>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</si>
  <si>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</si>
  <si>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</si>
  <si>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</si>
  <si>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</si>
  <si>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</si>
  <si>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</si>
  <si>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</si>
  <si>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</si>
  <si>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</si>
  <si>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</si>
  <si>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</si>
  <si>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</si>
  <si>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</si>
  <si>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</si>
  <si>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</si>
  <si>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</si>
  <si>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</si>
  <si>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</si>
  <si>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</si>
  <si>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</si>
  <si>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</si>
  <si>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</si>
  <si>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</si>
  <si>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</si>
  <si>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</si>
  <si>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</si>
  <si>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</si>
  <si>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</si>
  <si>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</si>
  <si>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</si>
  <si>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</si>
  <si>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</si>
  <si>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</si>
  <si>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</si>
  <si>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</si>
  <si>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</si>
  <si>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</si>
  <si>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</si>
  <si>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</si>
  <si>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</si>
  <si>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</si>
  <si>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</si>
  <si>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</si>
  <si>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</si>
  <si>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</si>
  <si>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</si>
  <si>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</si>
  <si>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</si>
  <si>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</si>
  <si>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</si>
  <si>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</si>
  <si>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</si>
  <si>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</si>
  <si>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</si>
  <si>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</si>
  <si>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</si>
  <si>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</si>
  <si>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</si>
  <si>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</si>
  <si>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</si>
  <si>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</si>
  <si>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</si>
  <si>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</si>
  <si>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</si>
  <si>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</si>
  <si>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</si>
  <si>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</si>
  <si>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</si>
  <si>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</si>
  <si>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</si>
  <si>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</si>
  <si>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</si>
  <si>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</si>
  <si>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</si>
  <si>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</si>
  <si>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</si>
  <si>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</si>
  <si>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</si>
  <si>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</si>
  <si>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</si>
  <si>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</si>
  <si>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</si>
  <si>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</si>
  <si>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</si>
  <si>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</si>
  <si>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</si>
  <si>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</si>
  <si>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</si>
  <si>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</si>
  <si>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</si>
  <si>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</si>
  <si>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</si>
  <si>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</si>
  <si>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</si>
  <si>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</si>
  <si>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</si>
  <si>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</si>
  <si>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</si>
  <si>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</si>
  <si>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</si>
  <si>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</si>
  <si>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</si>
  <si>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</si>
  <si>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</si>
  <si>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</si>
  <si>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</si>
  <si>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</si>
  <si>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</si>
  <si>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</si>
  <si>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</si>
  <si>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</si>
  <si>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</si>
  <si>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</si>
  <si>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</si>
  <si>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</si>
  <si>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</si>
  <si>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</si>
  <si>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</si>
  <si>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</si>
  <si>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</si>
  <si>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</si>
  <si>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</si>
  <si>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</si>
  <si>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</si>
  <si>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</si>
  <si>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</si>
  <si>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</si>
  <si>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</si>
  <si>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</si>
  <si>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</si>
  <si>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</si>
  <si>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</si>
  <si>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</si>
  <si>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</si>
  <si>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</si>
  <si>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</si>
  <si>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</si>
  <si>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</si>
  <si>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</si>
  <si>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</si>
  <si>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</si>
  <si>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</si>
  <si>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</si>
  <si>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</si>
  <si>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</si>
  <si>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</si>
  <si>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</si>
  <si>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</si>
  <si>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</si>
  <si>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</si>
  <si>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</si>
  <si>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</si>
  <si>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</si>
  <si>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</si>
  <si>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</si>
  <si>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</si>
  <si>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</si>
  <si>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</si>
  <si>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</si>
  <si>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</si>
  <si>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</si>
  <si>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</si>
  <si>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</si>
  <si>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</si>
  <si>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</si>
  <si>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</si>
  <si>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</si>
  <si>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</si>
  <si>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</si>
  <si>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</si>
  <si>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</si>
  <si>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</si>
  <si>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</si>
  <si>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</si>
  <si>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</si>
  <si>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</si>
  <si>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</si>
  <si>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</si>
  <si>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</si>
  <si>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</si>
  <si>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</si>
  <si>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</si>
  <si>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</si>
  <si>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</si>
  <si>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</si>
  <si>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</si>
  <si>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</si>
  <si>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</si>
  <si>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</si>
  <si>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</si>
  <si>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</si>
  <si>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</si>
  <si>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</si>
  <si>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</si>
  <si>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</si>
  <si>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</si>
  <si>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</si>
  <si>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</si>
  <si>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</si>
  <si>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</si>
  <si>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</si>
  <si>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</si>
  <si>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</si>
  <si>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</si>
  <si>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</si>
  <si>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</si>
  <si>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</si>
  <si>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</si>
  <si>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</si>
  <si>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</si>
  <si>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</si>
  <si>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</si>
  <si>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</si>
  <si>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</si>
  <si>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</si>
  <si>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</si>
  <si>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</si>
  <si>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</si>
  <si>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</si>
  <si>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</si>
  <si>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</si>
  <si>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</si>
  <si>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</si>
  <si>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</si>
  <si>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</si>
  <si>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</si>
  <si>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</si>
  <si>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</si>
  <si>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</si>
  <si>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</si>
  <si>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</si>
  <si>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</si>
  <si>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</si>
  <si>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</si>
  <si>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</si>
  <si>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</si>
  <si>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</si>
  <si>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</si>
  <si>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</si>
  <si>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</si>
  <si>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</si>
  <si>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</si>
  <si>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</si>
  <si>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</si>
  <si>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</si>
  <si>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</si>
  <si>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</si>
  <si>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</si>
  <si>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</si>
  <si>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</si>
  <si>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</si>
  <si>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601877.SS</t>
    <phoneticPr fontId="20" type="noConversion"/>
  </si>
  <si>
    <t>C0006</t>
    <phoneticPr fontId="20" type="noConversion"/>
  </si>
  <si>
    <t>CNY</t>
    <phoneticPr fontId="20" type="noConversion"/>
  </si>
  <si>
    <t>正泰电器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</si>
</sst>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9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0.78026408497877431</c:v>
                </c:pt>
                <c:pt idx="1">
                  <c:v>5.2166786659138153E-2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0.16756912836208757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7" sqref="D1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287" t="s">
        <v>268</v>
      </c>
    </row>
    <row r="6" spans="1:5" ht="13.9" x14ac:dyDescent="0.4">
      <c r="B6" s="141" t="s">
        <v>163</v>
      </c>
      <c r="C6" s="189">
        <v>45638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2148969984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57250814</v>
      </c>
      <c r="D25" s="149">
        <v>45974331</v>
      </c>
      <c r="E25" s="149">
        <v>39032520</v>
      </c>
      <c r="F25" s="149">
        <v>33253062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44670754</v>
      </c>
      <c r="D26" s="150">
        <v>35346875</v>
      </c>
      <c r="E26" s="150">
        <v>29563587</v>
      </c>
      <c r="F26" s="150">
        <v>24021544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2986591</v>
      </c>
      <c r="D27" s="150">
        <v>2554743</v>
      </c>
      <c r="E27" s="150">
        <v>2196475</v>
      </c>
      <c r="F27" s="150">
        <v>2324625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0.7625787941205604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3.3098037939260437E-2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57250814</v>
      </c>
      <c r="D91" s="209"/>
      <c r="E91" s="251">
        <f>C91</f>
        <v>57250814</v>
      </c>
      <c r="F91" s="251">
        <f>C91</f>
        <v>57250814</v>
      </c>
    </row>
    <row r="92" spans="2:8" ht="13.9" x14ac:dyDescent="0.4">
      <c r="B92" s="104" t="s">
        <v>105</v>
      </c>
      <c r="C92" s="77">
        <f>C26</f>
        <v>44670754</v>
      </c>
      <c r="D92" s="159">
        <f>C92/C91</f>
        <v>0.78026408497877431</v>
      </c>
      <c r="E92" s="252">
        <f>E91*D92</f>
        <v>44670754</v>
      </c>
      <c r="F92" s="252">
        <f>F91*D92</f>
        <v>44670754</v>
      </c>
    </row>
    <row r="93" spans="2:8" ht="13.9" x14ac:dyDescent="0.4">
      <c r="B93" s="104" t="s">
        <v>247</v>
      </c>
      <c r="C93" s="77">
        <f>C27+C28</f>
        <v>2986591</v>
      </c>
      <c r="D93" s="159">
        <f>C93/C91</f>
        <v>5.2166786659138153E-2</v>
      </c>
      <c r="E93" s="252">
        <f>E91*D93</f>
        <v>2986591</v>
      </c>
      <c r="F93" s="252">
        <f>F91*D93</f>
        <v>2986591</v>
      </c>
    </row>
    <row r="94" spans="2:8" ht="13.9" x14ac:dyDescent="0.4">
      <c r="B94" s="104" t="s">
        <v>257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0.7625787941205604</v>
      </c>
      <c r="D98" s="266"/>
      <c r="E98" s="254">
        <f>F98</f>
        <v>0.7625787941205604</v>
      </c>
      <c r="F98" s="254">
        <f>C98</f>
        <v>0.7625787941205604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601877.SS : 正泰电器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601877.SS</v>
      </c>
      <c r="D3" s="278"/>
      <c r="E3" s="87"/>
      <c r="F3" s="3" t="s">
        <v>1</v>
      </c>
      <c r="G3" s="132">
        <v>23.04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正泰电器</v>
      </c>
      <c r="D4" s="280"/>
      <c r="E4" s="87"/>
      <c r="F4" s="3" t="s">
        <v>2</v>
      </c>
      <c r="G4" s="283">
        <f>Inputs!C10</f>
        <v>2148969984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45638</v>
      </c>
      <c r="D5" s="282"/>
      <c r="E5" s="34"/>
      <c r="F5" s="35" t="s">
        <v>99</v>
      </c>
      <c r="G5" s="275">
        <f>G3*G4/1000000</f>
        <v>49512.268431360004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C0006</v>
      </c>
      <c r="E7" s="87"/>
      <c r="F7" s="35" t="s">
        <v>5</v>
      </c>
      <c r="G7" s="133">
        <v>1</v>
      </c>
      <c r="H7" s="71" t="str">
        <f>IF(G6=Dashboard!H3,H3,G6&amp;"/"&amp;Dashboard!H3)</f>
        <v>CNY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0.78026408497877431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5.2166786659138153E-2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260</v>
      </c>
      <c r="G24" s="268">
        <f>G3/(Fin_Analysis!H86*G7)</f>
        <v>6.8813854413330571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0.22776035641191592</v>
      </c>
    </row>
    <row r="26" spans="1:8" ht="15.75" customHeight="1" x14ac:dyDescent="0.4">
      <c r="B26" s="138" t="s">
        <v>173</v>
      </c>
      <c r="C26" s="171">
        <f>Fin_Analysis!I83</f>
        <v>0.16756912836208757</v>
      </c>
      <c r="F26" s="141" t="s">
        <v>193</v>
      </c>
      <c r="G26" s="178">
        <f>Fin_Analysis!H88*Exchange_Rate/G3</f>
        <v>3.3098037939260437E-2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46.09081151975434</v>
      </c>
      <c r="D29" s="129">
        <f>G29*(1+G20)</f>
        <v>85.164502763413154</v>
      </c>
      <c r="E29" s="87"/>
      <c r="F29" s="131">
        <f>IF(Fin_Analysis!C108="Profit",Fin_Analysis!F100,IF(Fin_Analysis!C108="Dividend",Fin_Analysis!F103,Fin_Analysis!F106))</f>
        <v>54.224484140887462</v>
      </c>
      <c r="G29" s="274">
        <f>IF(Fin_Analysis!C108="Profit",Fin_Analysis!I100,IF(Fin_Analysis!C108="Dividend",Fin_Analysis!I103,Fin_Analysis!I106))</f>
        <v>74.056089359489704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9593469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57250814</v>
      </c>
      <c r="D6" s="200">
        <f>IF(Inputs!D25="","",Inputs!D25)</f>
        <v>45974331</v>
      </c>
      <c r="E6" s="200">
        <f>IF(Inputs!E25="","",Inputs!E25)</f>
        <v>39032520</v>
      </c>
      <c r="F6" s="200">
        <f>IF(Inputs!F25="","",Inputs!F25)</f>
        <v>33253062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0.24527780512999753</v>
      </c>
      <c r="D7" s="92">
        <f t="shared" si="1"/>
        <v>0.17784685692853031</v>
      </c>
      <c r="E7" s="92">
        <f t="shared" si="1"/>
        <v>0.17380228022309652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44670754</v>
      </c>
      <c r="D8" s="199">
        <f>IF(Inputs!D26="","",Inputs!D26)</f>
        <v>35346875</v>
      </c>
      <c r="E8" s="199">
        <f>IF(Inputs!E26="","",Inputs!E26)</f>
        <v>29563587</v>
      </c>
      <c r="F8" s="199">
        <f>IF(Inputs!F26="","",Inputs!F26)</f>
        <v>24021544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12580060</v>
      </c>
      <c r="D9" s="151">
        <f t="shared" si="2"/>
        <v>10627456</v>
      </c>
      <c r="E9" s="151">
        <f t="shared" si="2"/>
        <v>9468933</v>
      </c>
      <c r="F9" s="151">
        <f t="shared" si="2"/>
        <v>9231518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2986591</v>
      </c>
      <c r="D10" s="199">
        <f>IF(Inputs!D27="","",Inputs!D27)</f>
        <v>2554743</v>
      </c>
      <c r="E10" s="199">
        <f>IF(Inputs!E27="","",Inputs!E27)</f>
        <v>2196475</v>
      </c>
      <c r="F10" s="199">
        <f>IF(Inputs!F27="","",Inputs!F27)</f>
        <v>2324625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0.16756912836208757</v>
      </c>
      <c r="D13" s="229">
        <f t="shared" si="3"/>
        <v>0.17559174488042034</v>
      </c>
      <c r="E13" s="229">
        <f t="shared" si="3"/>
        <v>0.18631792156898913</v>
      </c>
      <c r="F13" s="229">
        <f t="shared" si="3"/>
        <v>0.20770697748075048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9593469</v>
      </c>
      <c r="D14" s="230">
        <f t="shared" ref="D14:M14" si="4">IF(D6="","",D9-D10-MAX(D11,0)-MAX(D12,0))</f>
        <v>8072713</v>
      </c>
      <c r="E14" s="230">
        <f t="shared" si="4"/>
        <v>7272458</v>
      </c>
      <c r="F14" s="230">
        <f t="shared" si="4"/>
        <v>6906893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0.18838227000018457</v>
      </c>
      <c r="D15" s="232">
        <f t="shared" ref="D15:M15" si="5">IF(E14="","",IF(ABS(D14+E14)=ABS(D14)+ABS(E14),IF(D14&lt;0,-1,1)*(D14-E14)/E14,"Turn"))</f>
        <v>0.11003913669903628</v>
      </c>
      <c r="E15" s="232">
        <f t="shared" si="5"/>
        <v>5.2927560916319394E-2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9593469</v>
      </c>
      <c r="D22" s="161">
        <f t="shared" ref="D22:M22" si="8">IF(D6="","",D14-MAX(D16,0)-MAX(D17,0)-ABS(MAX(D21,0)-MAX(D19,0)))</f>
        <v>8072713</v>
      </c>
      <c r="E22" s="161">
        <f t="shared" si="8"/>
        <v>7272458</v>
      </c>
      <c r="F22" s="161">
        <f t="shared" si="8"/>
        <v>6906893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0.12567684627156567</v>
      </c>
      <c r="D23" s="153">
        <f t="shared" si="9"/>
        <v>0.13169380866031524</v>
      </c>
      <c r="E23" s="153">
        <f t="shared" si="9"/>
        <v>0.13973844117674186</v>
      </c>
      <c r="F23" s="153">
        <f t="shared" si="9"/>
        <v>0.15578023311056288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7195101.75</v>
      </c>
      <c r="D24" s="77">
        <f>IF(D6="","",D22*(1-Fin_Analysis!$I$84))</f>
        <v>6054534.75</v>
      </c>
      <c r="E24" s="77">
        <f>IF(E6="","",E22*(1-Fin_Analysis!$I$84))</f>
        <v>5454343.5</v>
      </c>
      <c r="F24" s="77">
        <f>IF(F6="","",F22*(1-Fin_Analysis!$I$84))</f>
        <v>5180169.75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0.18838227000018457</v>
      </c>
      <c r="D25" s="233">
        <f t="shared" ref="D25:M25" si="10">IF(E24="","",IF(ABS(D24+E24)=ABS(D24)+ABS(E24),IF(D24&lt;0,-1,1)*(D24-E24)/E24,"Turn"))</f>
        <v>0.11003913669903628</v>
      </c>
      <c r="E25" s="233">
        <f t="shared" si="10"/>
        <v>5.2927560916319394E-2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0.78026408497877431</v>
      </c>
      <c r="D42" s="156">
        <f t="shared" si="34"/>
        <v>0.76883935516103541</v>
      </c>
      <c r="E42" s="156">
        <f t="shared" si="34"/>
        <v>0.75740912961807227</v>
      </c>
      <c r="F42" s="156">
        <f t="shared" si="34"/>
        <v>0.72238592644490907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5.2166786659138153E-2</v>
      </c>
      <c r="D43" s="153">
        <f t="shared" si="35"/>
        <v>5.5568899958544256E-2</v>
      </c>
      <c r="E43" s="153">
        <f t="shared" si="35"/>
        <v>5.6272948812938546E-2</v>
      </c>
      <c r="F43" s="153">
        <f t="shared" si="35"/>
        <v>6.9907096074340466E-2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0.16756912836208757</v>
      </c>
      <c r="D48" s="153">
        <f t="shared" si="40"/>
        <v>0.17559174488042034</v>
      </c>
      <c r="E48" s="153">
        <f t="shared" si="40"/>
        <v>0.18631792156898913</v>
      </c>
      <c r="F48" s="153">
        <f t="shared" si="40"/>
        <v>0.20770697748075048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3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CNY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57250814</v>
      </c>
      <c r="D74" s="209"/>
      <c r="E74" s="238">
        <f>Inputs!E91</f>
        <v>57250814</v>
      </c>
      <c r="F74" s="209"/>
      <c r="H74" s="238">
        <f>Inputs!F91</f>
        <v>57250814</v>
      </c>
      <c r="I74" s="209"/>
      <c r="K74" s="24"/>
    </row>
    <row r="75" spans="1:11" ht="15" customHeight="1" x14ac:dyDescent="0.4">
      <c r="B75" s="104" t="s">
        <v>105</v>
      </c>
      <c r="C75" s="77">
        <f>Data!C8</f>
        <v>44670754</v>
      </c>
      <c r="D75" s="159">
        <f>C75/$C$74</f>
        <v>0.78026408497877431</v>
      </c>
      <c r="E75" s="238">
        <f>Inputs!E92</f>
        <v>44670754</v>
      </c>
      <c r="F75" s="160">
        <f>E75/E74</f>
        <v>0.78026408497877431</v>
      </c>
      <c r="H75" s="238">
        <f>Inputs!F92</f>
        <v>44670754</v>
      </c>
      <c r="I75" s="160">
        <f>H75/$H$74</f>
        <v>0.78026408497877431</v>
      </c>
      <c r="K75" s="24"/>
    </row>
    <row r="76" spans="1:11" ht="15" customHeight="1" x14ac:dyDescent="0.4">
      <c r="B76" s="35" t="s">
        <v>95</v>
      </c>
      <c r="C76" s="161">
        <f>C74-C75</f>
        <v>12580060</v>
      </c>
      <c r="D76" s="210"/>
      <c r="E76" s="162">
        <f>E74-E75</f>
        <v>12580060</v>
      </c>
      <c r="F76" s="210"/>
      <c r="H76" s="162">
        <f>H74-H75</f>
        <v>12580060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2986591</v>
      </c>
      <c r="D77" s="159">
        <f>C77/$C$74</f>
        <v>5.2166786659138153E-2</v>
      </c>
      <c r="E77" s="238">
        <f>Inputs!E93</f>
        <v>2986591</v>
      </c>
      <c r="F77" s="160">
        <f>E77/E74</f>
        <v>5.2166786659138153E-2</v>
      </c>
      <c r="H77" s="238">
        <f>Inputs!F93</f>
        <v>2986591</v>
      </c>
      <c r="I77" s="160">
        <f>H77/$H$74</f>
        <v>5.2166786659138153E-2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9593469</v>
      </c>
      <c r="D79" s="258">
        <f>C79/C74</f>
        <v>0.16756912836208757</v>
      </c>
      <c r="E79" s="259">
        <f>E76-E77-E78</f>
        <v>9593469</v>
      </c>
      <c r="F79" s="258">
        <f>E79/E74</f>
        <v>0.16756912836208757</v>
      </c>
      <c r="G79" s="260"/>
      <c r="H79" s="259">
        <f>H76-H77-H78</f>
        <v>9593469</v>
      </c>
      <c r="I79" s="258">
        <f>H79/H74</f>
        <v>0.16756912836208757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9593469</v>
      </c>
      <c r="D83" s="164">
        <f>C83/$C$74</f>
        <v>0.16756912836208757</v>
      </c>
      <c r="E83" s="165">
        <f>E79-E81-E82-E80</f>
        <v>9593469</v>
      </c>
      <c r="F83" s="164">
        <f>E83/E74</f>
        <v>0.16756912836208757</v>
      </c>
      <c r="H83" s="165">
        <f>H79-H81-H82-H80</f>
        <v>9593469</v>
      </c>
      <c r="I83" s="164">
        <f>H83/$H$74</f>
        <v>0.16756912836208757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7195101.75</v>
      </c>
      <c r="D85" s="258">
        <f>C85/$C$74</f>
        <v>0.12567684627156567</v>
      </c>
      <c r="E85" s="264">
        <f>E83*(1-F84)</f>
        <v>7195101.75</v>
      </c>
      <c r="F85" s="258">
        <f>E85/E74</f>
        <v>0.12567684627156567</v>
      </c>
      <c r="G85" s="260"/>
      <c r="H85" s="264">
        <f>H83*(1-I84)</f>
        <v>7195101.75</v>
      </c>
      <c r="I85" s="258">
        <f>H85/$H$74</f>
        <v>0.12567684627156567</v>
      </c>
      <c r="K85" s="24"/>
    </row>
    <row r="86" spans="1:11" ht="15" customHeight="1" x14ac:dyDescent="0.4">
      <c r="B86" s="87" t="s">
        <v>160</v>
      </c>
      <c r="C86" s="167">
        <f>C85*Data!C4/Common_Shares</f>
        <v>3.3481629820661096</v>
      </c>
      <c r="D86" s="209"/>
      <c r="E86" s="168">
        <f>E85*Data!C4/Common_Shares</f>
        <v>3.3481629820661096</v>
      </c>
      <c r="F86" s="209"/>
      <c r="H86" s="168">
        <f>H85*Data!C4/Common_Shares</f>
        <v>3.3481629820661096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0.14531957387439712</v>
      </c>
      <c r="D87" s="209"/>
      <c r="E87" s="262">
        <f>E86*Exchange_Rate/Dashboard!G3</f>
        <v>0.14531957387439712</v>
      </c>
      <c r="F87" s="209"/>
      <c r="H87" s="262">
        <f>H86*Exchange_Rate/Dashboard!G3</f>
        <v>0.14531957387439712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0.7625787941205604</v>
      </c>
      <c r="D88" s="166">
        <f>C88/C86</f>
        <v>0.22776035641191592</v>
      </c>
      <c r="E88" s="170">
        <f>Inputs!E98</f>
        <v>0.7625787941205604</v>
      </c>
      <c r="F88" s="166">
        <f>E88/E86</f>
        <v>0.22776035641191592</v>
      </c>
      <c r="H88" s="170">
        <f>Inputs!F98</f>
        <v>0.7625787941205604</v>
      </c>
      <c r="I88" s="166">
        <f>H88/H86</f>
        <v>0.22776035641191592</v>
      </c>
      <c r="K88" s="24"/>
    </row>
    <row r="89" spans="1:11" ht="15" customHeight="1" x14ac:dyDescent="0.4">
      <c r="B89" s="87" t="s">
        <v>221</v>
      </c>
      <c r="C89" s="261">
        <f>C88*Exchange_Rate/Dashboard!G3</f>
        <v>3.3098037939260437E-2</v>
      </c>
      <c r="D89" s="209"/>
      <c r="E89" s="261">
        <f>E88*Exchange_Rate/Dashboard!G3</f>
        <v>3.3098037939260437E-2</v>
      </c>
      <c r="F89" s="209"/>
      <c r="H89" s="261">
        <f>H88*Exchange_Rate/Dashboard!G3</f>
        <v>3.3098037939260437E-2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CNY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109.06480591525373</v>
      </c>
      <c r="H93" s="87" t="s">
        <v>209</v>
      </c>
      <c r="I93" s="144">
        <f>FV(H87,D93,0,-(H86/(C93-D94)))*Exchange_Rate</f>
        <v>109.06480591525373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14.833274482558156</v>
      </c>
      <c r="H94" s="87" t="s">
        <v>210</v>
      </c>
      <c r="I94" s="144">
        <f>FV(H89,D93,0,-(H88/(C93-D94)))*Exchange_Rate</f>
        <v>14.833274482558156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CNY</v>
      </c>
      <c r="C96" s="127" t="str">
        <f>Dashboard!H3</f>
        <v>CNY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116526788.81665118</v>
      </c>
      <c r="D97" s="213"/>
      <c r="E97" s="123">
        <f>PV(C94,D93,0,-F93)</f>
        <v>54.224484140887462</v>
      </c>
      <c r="F97" s="213"/>
      <c r="H97" s="123">
        <f>PV(C94,D93,0,-I93)</f>
        <v>54.224484140887462</v>
      </c>
      <c r="I97" s="123">
        <f>PV(C93,D93,0,-I93)</f>
        <v>74.056089359489704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116526788.81665118</v>
      </c>
      <c r="D100" s="109">
        <f>MIN(F100*(1-C94),E100)</f>
        <v>46.09081151975434</v>
      </c>
      <c r="E100" s="109">
        <f>MAX(E97+H98+E99,0)</f>
        <v>54.224484140887462</v>
      </c>
      <c r="F100" s="109">
        <f>(E100+H100)/2</f>
        <v>54.224484140887462</v>
      </c>
      <c r="H100" s="109">
        <f>MAX(C100*Data!$C$4/Common_Shares,0)</f>
        <v>54.224484140887462</v>
      </c>
      <c r="I100" s="109">
        <f>MAX(I97+H98+H99,0)</f>
        <v>74.056089359489704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CNY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15848135.689450046</v>
      </c>
      <c r="D103" s="109">
        <f>MIN(F103*(1-C94),E103)</f>
        <v>6.2685451338684395</v>
      </c>
      <c r="E103" s="123">
        <f>PV(C94,D93,0,-F94)</f>
        <v>7.374758981021694</v>
      </c>
      <c r="F103" s="109">
        <f>(E103+H103)/2</f>
        <v>7.374758981021694</v>
      </c>
      <c r="H103" s="123">
        <f>PV(C94,D93,0,-I94)</f>
        <v>7.374758981021694</v>
      </c>
      <c r="I103" s="109">
        <f>PV(C93,D93,0,-I94)</f>
        <v>10.071941093699142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CNY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66187462.25305061</v>
      </c>
      <c r="D106" s="109">
        <f>(D100+D103)/2</f>
        <v>26.179678326811391</v>
      </c>
      <c r="E106" s="123">
        <f>(E100+E103)/2</f>
        <v>30.799621560954577</v>
      </c>
      <c r="F106" s="109">
        <f>(F100+F103)/2</f>
        <v>30.799621560954577</v>
      </c>
      <c r="H106" s="123">
        <f>(H100+H103)/2</f>
        <v>30.799621560954577</v>
      </c>
      <c r="I106" s="123">
        <f>(I100+I103)/2</f>
        <v>42.064015226594421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2024-12-12T07:57:42Z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