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A628A91-8930-45EC-8625-5E87DC4921F0}" xr6:coauthVersionLast="47" xr6:coauthVersionMax="47" xr10:uidLastSave="{00000000-0000-0000-0000-000000000000}"/>
  <bookViews>
    <workbookView xWindow="1103" yWindow="1103" windowWidth="12690" windowHeight="7642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53" i="3" l="1"/>
  <c r="C79" i="3"/>
  <c r="F5" i="4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E100" i="3" l="1"/>
  <c r="F100" i="3"/>
  <c r="F106" i="3" s="1"/>
  <c r="D29" i="1"/>
  <c r="E106" i="3" l="1"/>
  <c r="C29" i="1"/>
  <c r="F29" i="1"/>
  <c r="C106" i="3"/>
</calcChain>
</file>

<file path=xl/sharedStrings.xml><?xml version="1.0" encoding="utf-8"?>
<sst xmlns="http://schemas.openxmlformats.org/spreadsheetml/2006/main" count="350" uniqueCount="248">
  <si>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</si>
  <si>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</si>
  <si>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</si>
  <si>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</si>
  <si>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</si>
  <si>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</si>
  <si>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</si>
  <si>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</si>
  <si>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</si>
  <si>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</si>
  <si>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</si>
  <si>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</si>
  <si>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</si>
  <si>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</si>
  <si>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</si>
  <si>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</si>
  <si>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</si>
  <si>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</si>
  <si>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</si>
  <si>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</si>
  <si>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</si>
  <si>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</si>
  <si>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</si>
  <si>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</si>
  <si>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</si>
  <si>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</si>
  <si>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</si>
  <si>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</si>
  <si>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</si>
  <si>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</si>
  <si>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</si>
  <si>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</si>
  <si>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</si>
  <si>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</si>
  <si>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</si>
  <si>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</si>
  <si>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</si>
  <si>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</si>
  <si>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</si>
  <si>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</si>
  <si>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</si>
  <si>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</si>
  <si>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</si>
  <si>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</si>
  <si>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</si>
  <si>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</si>
  <si>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</si>
  <si>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</si>
  <si>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</si>
  <si>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</si>
  <si>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</si>
  <si>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</si>
  <si>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</si>
  <si>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</si>
  <si>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</si>
  <si>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</si>
  <si>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</si>
  <si>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</si>
  <si>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</si>
  <si>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</si>
  <si>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</si>
  <si>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</si>
  <si>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</si>
  <si>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</si>
  <si>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</si>
  <si>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</si>
  <si>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</si>
  <si>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</si>
  <si>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</si>
  <si>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</si>
  <si>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</si>
  <si>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</si>
  <si>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</si>
  <si>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</si>
  <si>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</si>
  <si>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</si>
  <si>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</si>
  <si>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</si>
  <si>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</si>
  <si>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</si>
  <si>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</si>
  <si>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</si>
  <si>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</si>
  <si>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</si>
  <si>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</si>
  <si>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</si>
  <si>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</si>
  <si>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</si>
  <si>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</si>
  <si>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</si>
  <si>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</si>
  <si>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</si>
  <si>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</si>
  <si>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</si>
  <si>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</si>
  <si>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</si>
  <si>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</si>
  <si>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</si>
  <si>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</si>
  <si>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</si>
  <si>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</si>
  <si>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</si>
  <si>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</si>
  <si>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</si>
  <si>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</si>
  <si>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</si>
  <si>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</si>
  <si>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</si>
  <si>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</si>
  <si>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</si>
  <si>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</si>
  <si>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</si>
  <si>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</si>
  <si>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</si>
  <si>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</si>
  <si>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</si>
  <si>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</si>
  <si>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</si>
  <si>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</si>
  <si>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</si>
  <si>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</si>
  <si>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</si>
  <si>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</si>
  <si>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</si>
  <si>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</si>
  <si>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</si>
  <si>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</si>
  <si>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</si>
  <si>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</si>
  <si>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</si>
  <si>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</si>
  <si>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</si>
  <si>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</si>
  <si>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</si>
  <si>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</si>
  <si>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</si>
  <si>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</si>
  <si>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</si>
  <si>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</si>
  <si>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</si>
  <si>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</si>
  <si>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</si>
  <si>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</si>
  <si>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</si>
  <si>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</si>
  <si>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</si>
  <si>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</si>
  <si>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</si>
  <si>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</si>
  <si>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</si>
  <si>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</si>
  <si>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</si>
  <si>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</si>
  <si>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</si>
  <si>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</si>
  <si>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</si>
  <si>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</si>
  <si>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</si>
  <si>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</si>
  <si>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</si>
  <si>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</si>
  <si>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</si>
  <si>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</si>
  <si>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</si>
  <si>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</si>
  <si>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</si>
  <si>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</si>
  <si>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</si>
  <si>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</si>
  <si>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</si>
  <si>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</si>
  <si>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</si>
  <si>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</si>
  <si>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</si>
  <si>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</si>
  <si>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</si>
  <si>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</si>
  <si>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</si>
  <si>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</si>
  <si>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</si>
  <si>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</si>
  <si>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</si>
  <si>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</si>
  <si>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</si>
  <si>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</si>
  <si>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</si>
  <si>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</si>
  <si>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</si>
  <si>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</si>
  <si>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</si>
  <si>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</si>
  <si>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</si>
  <si>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</si>
  <si>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</si>
  <si>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</si>
  <si>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</si>
  <si>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</si>
  <si>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</si>
  <si>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</si>
  <si>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</si>
  <si>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</si>
  <si>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</si>
  <si>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</si>
  <si>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</si>
  <si>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</si>
  <si>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</si>
  <si>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</si>
  <si>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</si>
  <si>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</si>
  <si>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</si>
  <si>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</si>
  <si>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</si>
  <si>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</si>
  <si>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</si>
  <si>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</si>
  <si>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</si>
  <si>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</si>
  <si>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</si>
  <si>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</si>
  <si>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</si>
  <si>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</si>
  <si>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</si>
  <si>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</si>
  <si>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</si>
  <si>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</si>
  <si>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</si>
  <si>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</si>
  <si>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</si>
  <si>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</si>
  <si>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</si>
  <si>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</si>
  <si>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</si>
  <si>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</si>
  <si>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</si>
  <si>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</si>
  <si>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</si>
  <si>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</si>
  <si>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</si>
  <si>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</si>
  <si>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</si>
  <si>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</si>
  <si>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</si>
  <si>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</si>
  <si>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</si>
  <si>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銀河娛樂</t>
    <phoneticPr fontId="20" type="noConversion"/>
  </si>
  <si>
    <t>0027.HK</t>
    <phoneticPr fontId="20" type="noConversion"/>
  </si>
  <si>
    <t>C0011</t>
    <phoneticPr fontId="20" type="noConversion"/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</si>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</sst>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12" zoomScaleNormal="100" workbookViewId="0">
      <selection activeCell="C30" sqref="C3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0027.HK</v>
      </c>
      <c r="D3" s="242"/>
      <c r="E3" s="87"/>
      <c r="F3" s="3" t="s">
        <v>1</v>
      </c>
      <c r="G3" s="133">
        <v>34.150001525878906</v>
      </c>
      <c r="H3" s="135" t="s">
        <v>2</v>
      </c>
    </row>
    <row r="4" spans="1:10" ht="15.75" customHeight="1" x14ac:dyDescent="0.4">
      <c r="B4" s="35" t="s">
        <v>212</v>
      </c>
      <c r="C4" s="243" t="str">
        <f>Inputs!C5</f>
        <v>銀河娛樂</v>
      </c>
      <c r="D4" s="244"/>
      <c r="E4" s="87"/>
      <c r="F4" s="3" t="s">
        <v>3</v>
      </c>
      <c r="G4" s="247">
        <f>Inputs!C10</f>
        <v>4373586962</v>
      </c>
      <c r="H4" s="247"/>
      <c r="I4" s="39"/>
    </row>
    <row r="5" spans="1:10" ht="15.75" customHeight="1" x14ac:dyDescent="0.4">
      <c r="B5" s="3" t="s">
        <v>175</v>
      </c>
      <c r="C5" s="245">
        <f>Inputs!C6</f>
        <v>45603</v>
      </c>
      <c r="D5" s="246"/>
      <c r="E5" s="34"/>
      <c r="F5" s="35" t="s">
        <v>102</v>
      </c>
      <c r="G5" s="239">
        <f>G3*G4/1000000</f>
        <v>149358.00142586409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">
        <v>71</v>
      </c>
      <c r="D7" s="194" t="str">
        <f>Inputs!C9</f>
        <v>C0011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0.47272944175123971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0.35112695227219692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3.219411078814375E-2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0.45478155540723947</v>
      </c>
    </row>
    <row r="26" spans="1:8" ht="15.75" customHeight="1" x14ac:dyDescent="0.4">
      <c r="B26" s="139" t="s">
        <v>187</v>
      </c>
      <c r="C26" s="177">
        <f>Fin_Analysis!I83</f>
        <v>0.17614360597656339</v>
      </c>
      <c r="F26" s="142" t="s">
        <v>210</v>
      </c>
      <c r="G26" s="184">
        <f>Fin_Analysis!H88*Exchange_Rate/G3</f>
        <v>1.4641287779185002E-2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IF(Fin_Analysis!C108="Profit",Fin_Analysis!E100,IF(Fin_Analysis!C108="Dividend",Fin_Analysis!E103,Fin_Analysis!E106))</f>
        <v>9.7037792588870744</v>
      </c>
      <c r="D29" s="130">
        <f>IF(Fin_Analysis!C108="Profit",Fin_Analysis!I100,IF(Fin_Analysis!C108="Dividend",Fin_Analysis!I103,Fin_Analysis!I106))</f>
        <v>17.723688150419299</v>
      </c>
      <c r="E29" s="87"/>
      <c r="F29" s="132">
        <f>IF(Fin_Analysis!C108="Profit",Fin_Analysis!F100,IF(Fin_Analysis!C108="Dividend",Fin_Analysis!F103,Fin_Analysis!F106))</f>
        <v>14.178950520335441</v>
      </c>
      <c r="G29" s="238">
        <f>IF(Fin_Analysis!C108="Profit",Fin_Analysis!H100,IF(Fin_Analysis!C108="Dividend",Fin_Analysis!H103,Fin_Analysis!H106))</f>
        <v>14.178950520335441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0" sqref="F10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245</v>
      </c>
      <c r="F4" s="201" t="s">
        <v>227</v>
      </c>
    </row>
    <row r="5" spans="1:6" ht="15" x14ac:dyDescent="0.5">
      <c r="B5" s="142" t="s">
        <v>212</v>
      </c>
      <c r="C5" s="236" t="s">
        <v>244</v>
      </c>
      <c r="E5" s="231">
        <f>C18</f>
        <v>45291</v>
      </c>
      <c r="F5" s="232">
        <f>0.5+0.3</f>
        <v>0.8</v>
      </c>
    </row>
    <row r="6" spans="1:6" ht="13.9" x14ac:dyDescent="0.4">
      <c r="B6" s="142" t="s">
        <v>175</v>
      </c>
      <c r="C6" s="196">
        <v>45603</v>
      </c>
      <c r="E6" s="233" t="s">
        <v>225</v>
      </c>
      <c r="F6" s="232">
        <v>0.5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246</v>
      </c>
    </row>
    <row r="10" spans="1:6" ht="13.9" x14ac:dyDescent="0.4">
      <c r="B10" s="141" t="s">
        <v>239</v>
      </c>
      <c r="C10" s="200">
        <v>4373586962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35684253</v>
      </c>
      <c r="D19" s="152">
        <v>11473793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16868997</v>
      </c>
      <c r="D20" s="153">
        <v>6522891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12529703</v>
      </c>
      <c r="D21" s="153">
        <v>8392476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46020</v>
      </c>
      <c r="D27" s="153">
        <v>-14407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 t="e">
        <f>C19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35684253</v>
      </c>
      <c r="D6" s="209">
        <f>IF(Inputs!D19="","",Inputs!D19)</f>
        <v>11473793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16868997</v>
      </c>
      <c r="D8" s="208">
        <f>IF(Inputs!D20="","",Inputs!D20)</f>
        <v>6522891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18815256</v>
      </c>
      <c r="D9" s="154">
        <f t="shared" si="2"/>
        <v>4950902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12529703</v>
      </c>
      <c r="D10" s="208">
        <f>IF(Inputs!D21="","",Inputs!D21)</f>
        <v>8392476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6285553</v>
      </c>
      <c r="D13" s="154">
        <f t="shared" ref="D13:M13" si="4">IF(D6="","",(D9-D10+MAX(D12,0)))</f>
        <v>-3441574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 t="str">
        <f>IF(Inputs!C26="","",Inputs!C26)</f>
        <v/>
      </c>
      <c r="D17" s="208" t="str">
        <f>IF(Inputs!D26="","",Inputs!D26)</f>
        <v/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46020</v>
      </c>
      <c r="D18" s="208">
        <f>IF(Inputs!D27="","",Inputs!D27)</f>
        <v>-14407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 t="e">
        <f>IF(C6="","",C9-C10-C17-MAX(C18/(1-Fin_Analysis!$I$84),0))</f>
        <v>#VALUE!</v>
      </c>
      <c r="D19" s="77" t="e">
        <f>IF(D6="","",D9-D10-D17-MAX(D18/(1-Fin_Analysis!$I$84),0))</f>
        <v>#VALUE!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 t="e">
        <f>IF(D19="","",IF(ABS(C19+D19)=ABS(C19)+ABS(D19),IF(C19&lt;0,-1,1)*(C19-D19)/D19,"Turn"))</f>
        <v>#VALUE!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 t="e">
        <f>IF(C6="","",C13-MAX(C14,0)-MAX(C15,0)-MAX(C16,0)-C17-MAX(C18/(1-Fin_Analysis!$I$84),0))</f>
        <v>#VALUE!</v>
      </c>
      <c r="D21" s="77" t="e">
        <f>IF(D6="","",D13-MAX(D14,0)-MAX(D15,0)-MAX(D16,0)-D17-MAX(D18/(1-Fin_Analysis!$I$84),0))</f>
        <v>#VALUE!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 t="e">
        <f>IF(D21="","",IF(ABS(C21+D21)=ABS(C21)+ABS(D21),IF(C21&lt;0,-1,1)*(C21-D21)/D21,"Turn"))</f>
        <v>#VALUE!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 t="e">
        <f t="shared" ref="C23:M23" si="7">IF(C6="","",C24/C6)</f>
        <v>#VALUE!</v>
      </c>
      <c r="D23" s="157" t="e">
        <f t="shared" si="7"/>
        <v>#VALUE!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 t="e">
        <f>IF(C6="","",C21*(1-Fin_Analysis!$I$84))</f>
        <v>#VALUE!</v>
      </c>
      <c r="D24" s="77" t="e">
        <f>IF(D6="","",D21*(1-Fin_Analysis!$I$84))</f>
        <v>#VALUE!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 t="e">
        <f>IF(D24="","",IF(ABS(C24+D24)=ABS(C24)+ABS(D24),IF(C24&lt;0,-1,1)*(C24-D24)/D24,"Turn"))</f>
        <v>#VALUE!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#VALUE!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0.47272944175123971</v>
      </c>
      <c r="D42" s="161">
        <f t="shared" si="33"/>
        <v>0.56850345827225579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0.35112695227219692</v>
      </c>
      <c r="D43" s="157">
        <f t="shared" ref="D43:M43" si="34">IF(D6="","",(D10-MAX(D12,0))/D6)</f>
        <v>0.7314473949460305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 t="e">
        <f t="shared" ref="C46:M46" si="37">IF(C6="","",C17/C6)</f>
        <v>#VALUE!</v>
      </c>
      <c r="D46" s="157" t="e">
        <f t="shared" si="37"/>
        <v>#VALUE!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1.6858097812807804E-3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 t="e">
        <f t="shared" ref="C48:M48" si="38">IF(C6="","",C21/C6)</f>
        <v>#VALUE!</v>
      </c>
      <c r="D48" s="157" t="e">
        <f t="shared" si="38"/>
        <v>#VALUE!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e">
        <f>IF(OR(C21="",C35=""),"",IF(C35&lt;=0,"-",C21/C35))</f>
        <v>#VALUE!</v>
      </c>
      <c r="D54" s="162" t="e">
        <f t="shared" ref="D54:M54" si="42">IF(OR(D21="",D35=""),"",IF(D35&lt;=0,"-",D21/D35))</f>
        <v>#VALUE!</v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 t="e">
        <f t="shared" ref="C55:M55" si="43">IF(C21="","",IF(C17&lt;=0,"-",C17/C21))</f>
        <v>#VALUE!</v>
      </c>
      <c r="D55" s="157" t="e">
        <f t="shared" si="43"/>
        <v>#VALUE!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89" zoomScaleNormal="100" workbookViewId="0">
      <selection activeCell="F97" sqref="F97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35684253</v>
      </c>
      <c r="D74" s="218"/>
      <c r="E74" s="205">
        <f>H74</f>
        <v>35684253</v>
      </c>
      <c r="F74" s="218"/>
      <c r="H74" s="205">
        <f>C74</f>
        <v>35684253</v>
      </c>
      <c r="I74" s="218"/>
      <c r="K74" s="24"/>
    </row>
    <row r="75" spans="1:11" ht="15" customHeight="1" x14ac:dyDescent="0.4">
      <c r="B75" s="105" t="s">
        <v>109</v>
      </c>
      <c r="C75" s="77">
        <f>Data!C8</f>
        <v>16868997</v>
      </c>
      <c r="D75" s="164">
        <f>C75/$C$74</f>
        <v>0.47272944175123971</v>
      </c>
      <c r="E75" s="186">
        <f>E74*F75</f>
        <v>16868997</v>
      </c>
      <c r="F75" s="165">
        <f>I75</f>
        <v>0.47272944175123971</v>
      </c>
      <c r="H75" s="205">
        <f>D75*H74</f>
        <v>16868997</v>
      </c>
      <c r="I75" s="165">
        <f>H75/$H$74</f>
        <v>0.47272944175123971</v>
      </c>
      <c r="K75" s="24"/>
    </row>
    <row r="76" spans="1:11" ht="15" customHeight="1" x14ac:dyDescent="0.4">
      <c r="B76" s="35" t="s">
        <v>96</v>
      </c>
      <c r="C76" s="166">
        <f>C74-C75</f>
        <v>18815256</v>
      </c>
      <c r="D76" s="219"/>
      <c r="E76" s="167">
        <f>E74-E75</f>
        <v>18815256</v>
      </c>
      <c r="F76" s="219"/>
      <c r="H76" s="167">
        <f>H74-H75</f>
        <v>18815256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12529703</v>
      </c>
      <c r="D77" s="164">
        <f>C77/$C$74</f>
        <v>0.35112695227219692</v>
      </c>
      <c r="E77" s="186">
        <f>E74*F77</f>
        <v>12529703</v>
      </c>
      <c r="F77" s="165">
        <f>I77</f>
        <v>0.35112695227219692</v>
      </c>
      <c r="H77" s="205">
        <f>D77*H74</f>
        <v>12529703</v>
      </c>
      <c r="I77" s="165">
        <f>H77/$H$74</f>
        <v>0.35112695227219692</v>
      </c>
      <c r="K77" s="24"/>
    </row>
    <row r="78" spans="1:11" ht="15" customHeight="1" x14ac:dyDescent="0.4">
      <c r="B78" s="35" t="s">
        <v>97</v>
      </c>
      <c r="C78" s="166">
        <f>C76-C77</f>
        <v>6285553</v>
      </c>
      <c r="D78" s="219"/>
      <c r="E78" s="167">
        <f>E76-E77</f>
        <v>6285553</v>
      </c>
      <c r="F78" s="219"/>
      <c r="H78" s="167">
        <f>H76-H77</f>
        <v>6285553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0</v>
      </c>
      <c r="D79" s="164">
        <f>C79/$C$74</f>
        <v>0</v>
      </c>
      <c r="E79" s="186">
        <f>E74*F79</f>
        <v>0</v>
      </c>
      <c r="F79" s="165">
        <f t="shared" ref="F79:F84" si="8">I79</f>
        <v>0</v>
      </c>
      <c r="H79" s="205">
        <f>C79</f>
        <v>0</v>
      </c>
      <c r="I79" s="165">
        <f>H79/$H$74</f>
        <v>0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46020</v>
      </c>
      <c r="D82" s="164">
        <f>C82/$C$74</f>
        <v>1.2896444826797971E-3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6239533</v>
      </c>
      <c r="D83" s="169">
        <f>C83/$C$74</f>
        <v>0.1748539614938836</v>
      </c>
      <c r="E83" s="170">
        <f>E74*F83</f>
        <v>6285553</v>
      </c>
      <c r="F83" s="171">
        <f t="shared" si="8"/>
        <v>0.17614360597656339</v>
      </c>
      <c r="H83" s="170">
        <f>H78-H79-H80-H81-H82</f>
        <v>6285553</v>
      </c>
      <c r="I83" s="171">
        <f>H83/$H$74</f>
        <v>0.17614360597656339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4773242.7450000001</v>
      </c>
      <c r="D85" s="171">
        <f>C85/$C$74</f>
        <v>0.13376328054282094</v>
      </c>
      <c r="E85" s="172">
        <f>E83*(1-F84)</f>
        <v>4808448.0449999999</v>
      </c>
      <c r="F85" s="171">
        <f>E85/$H$74</f>
        <v>0.134749858572071</v>
      </c>
      <c r="H85" s="172">
        <f>H83*(1-I84)</f>
        <v>4808448.0449999999</v>
      </c>
      <c r="I85" s="171">
        <f>H85/$H$74</f>
        <v>0.134749858572071</v>
      </c>
      <c r="K85" s="24"/>
    </row>
    <row r="86" spans="1:11" ht="15" customHeight="1" x14ac:dyDescent="0.4">
      <c r="B86" s="87" t="s">
        <v>172</v>
      </c>
      <c r="C86" s="173">
        <f>C85*Data!C4/Common_Shares</f>
        <v>1.0913794069884553</v>
      </c>
      <c r="D86" s="218"/>
      <c r="E86" s="174">
        <f>E85*Data!C4/Common_Shares</f>
        <v>1.0994289325394235</v>
      </c>
      <c r="F86" s="218"/>
      <c r="H86" s="174">
        <f>H85*Data!C4/Common_Shares</f>
        <v>1.0994289325394235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3.1958399947988492E-2</v>
      </c>
      <c r="D87" s="218"/>
      <c r="E87" s="165">
        <f>E86/Dashboard!G3</f>
        <v>3.219411078814375E-2</v>
      </c>
      <c r="F87" s="218"/>
      <c r="H87" s="165">
        <f>H86/Dashboard!G3</f>
        <v>3.219411078814375E-2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0.8</v>
      </c>
      <c r="D88" s="171">
        <f>C88/C86</f>
        <v>0.73301731265712122</v>
      </c>
      <c r="E88" s="204">
        <f>H88</f>
        <v>0.5</v>
      </c>
      <c r="F88" s="171">
        <f>E88/E86</f>
        <v>0.45478155540723947</v>
      </c>
      <c r="H88" s="176">
        <f>Inputs!F6</f>
        <v>0.5</v>
      </c>
      <c r="I88" s="171">
        <f>H88/H86</f>
        <v>0.45478155540723947</v>
      </c>
      <c r="K88" s="24"/>
    </row>
    <row r="89" spans="1:11" ht="15" customHeight="1" x14ac:dyDescent="0.4">
      <c r="B89" s="87" t="s">
        <v>229</v>
      </c>
      <c r="C89" s="165">
        <f>C88/Dashboard!G3</f>
        <v>2.3426060446696005E-2</v>
      </c>
      <c r="D89" s="218"/>
      <c r="E89" s="165">
        <f>E88/Dashboard!G3</f>
        <v>1.4641287779185002E-2</v>
      </c>
      <c r="F89" s="218"/>
      <c r="H89" s="165">
        <f>H88/Dashboard!G3</f>
        <v>1.4641287779185002E-2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19.517766158275933</v>
      </c>
      <c r="H93" s="87" t="s">
        <v>230</v>
      </c>
      <c r="I93" s="146">
        <f>FV(H87,D93,0,-(H86/C93))</f>
        <v>19.517766158275933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8.1468312768805173</v>
      </c>
      <c r="H94" s="87" t="s">
        <v>231</v>
      </c>
      <c r="I94" s="146">
        <f>FV(H89,D93,0,-(H88/C93))</f>
        <v>8.1468312768805173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62012873.130582199</v>
      </c>
      <c r="E97" s="124">
        <f>PV(C94,D93,0,-F93)*Exchange_Rate</f>
        <v>9.7037792588870744</v>
      </c>
      <c r="F97" s="124">
        <f>PV(C93,D93,0,-F93)*Exchange_Rate</f>
        <v>14.178950520335441</v>
      </c>
      <c r="H97" s="124">
        <f>PV(C93,D93,0,-I93)*Exchange_Rate</f>
        <v>14.178950520335441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62012873.130582199</v>
      </c>
      <c r="E100" s="110">
        <f>MAX(E97-F98+F99,0)</f>
        <v>9.7037792588870744</v>
      </c>
      <c r="F100" s="110">
        <f>MAX(F97-H98+H99,0)</f>
        <v>14.178950520335441</v>
      </c>
      <c r="H100" s="110">
        <f>MAX(C100*Data!$C$4/Common_Shares,0)</f>
        <v>14.178950520335441</v>
      </c>
      <c r="I100" s="110">
        <f>H100*1.25</f>
        <v>17.723688150419299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25884540.796961635</v>
      </c>
      <c r="E103" s="110">
        <f>PV(C94,D93,0,-F94)*Exchange_Rate</f>
        <v>4.0504149772654543</v>
      </c>
      <c r="F103" s="124">
        <f>PV(C93,D93,0,-F94)*Exchange_Rate</f>
        <v>5.9183779862753383</v>
      </c>
      <c r="H103" s="124">
        <f>PV(C93,D93,0,-I94)*Exchange_Rate</f>
        <v>5.9183779862753383</v>
      </c>
      <c r="I103" s="110">
        <f>H103*1.25</f>
        <v>7.3979724828441729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43948706.963771917</v>
      </c>
      <c r="E106" s="110">
        <f>(E100+E103)/2</f>
        <v>6.8770971180762643</v>
      </c>
      <c r="F106" s="124">
        <f>(F100+F103)/2</f>
        <v>10.04866425330539</v>
      </c>
      <c r="H106" s="124">
        <f>(H100+H103)/2</f>
        <v>10.04866425330539</v>
      </c>
      <c r="I106" s="110">
        <f>H106*1.25</f>
        <v>12.560830316631737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247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