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1D3C961-E48B-41CA-A007-69FCB97673DA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<sst xmlns="http://schemas.openxmlformats.org/spreadsheetml/2006/main" count="350" uniqueCount="250">
  <si>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</si>
  <si>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</si>
  <si>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</si>
  <si>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</si>
  <si>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</si>
  <si>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</si>
  <si>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</si>
  <si>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</si>
  <si>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</si>
  <si>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</si>
  <si>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</si>
  <si>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</si>
  <si>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</si>
  <si>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</si>
  <si>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</si>
  <si>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</si>
  <si>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</si>
  <si>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</si>
  <si>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</si>
  <si>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</si>
  <si>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</si>
  <si>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</si>
  <si>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</si>
  <si>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</si>
  <si>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</si>
  <si>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</si>
  <si>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</si>
  <si>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</si>
  <si>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</si>
  <si>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</si>
  <si>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</si>
  <si>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</si>
  <si>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</si>
  <si>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</si>
  <si>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</si>
  <si>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</si>
  <si>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</si>
  <si>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</si>
  <si>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</si>
  <si>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</si>
  <si>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</si>
  <si>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</si>
  <si>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</si>
  <si>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</si>
  <si>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</si>
  <si>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</si>
  <si>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</si>
  <si>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</si>
  <si>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</si>
  <si>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</si>
  <si>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</si>
  <si>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</si>
  <si>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</si>
  <si>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</si>
  <si>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</si>
  <si>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</si>
  <si>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</si>
  <si>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</si>
  <si>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</si>
  <si>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</si>
  <si>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</si>
  <si>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</si>
  <si>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</si>
  <si>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</si>
  <si>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</si>
  <si>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</si>
  <si>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</si>
  <si>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</si>
  <si>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</si>
  <si>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</si>
  <si>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</si>
  <si>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</si>
  <si>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</si>
  <si>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</si>
  <si>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</si>
  <si>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</si>
  <si>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</si>
  <si>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</si>
  <si>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</si>
  <si>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</si>
  <si>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</si>
  <si>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</si>
  <si>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</si>
  <si>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</si>
  <si>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</si>
  <si>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</si>
  <si>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</si>
  <si>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</si>
  <si>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</si>
  <si>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</si>
  <si>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</si>
  <si>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</si>
  <si>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</si>
  <si>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</si>
  <si>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</si>
  <si>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</si>
  <si>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</si>
  <si>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</si>
  <si>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</si>
  <si>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</si>
  <si>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</si>
  <si>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</si>
  <si>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</si>
  <si>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</si>
  <si>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</si>
  <si>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</si>
  <si>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</si>
  <si>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</si>
  <si>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</si>
  <si>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</si>
  <si>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</si>
  <si>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</si>
  <si>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</si>
  <si>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</si>
  <si>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</si>
  <si>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</si>
  <si>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</si>
  <si>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</si>
  <si>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</si>
  <si>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</si>
  <si>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</si>
  <si>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</si>
  <si>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</si>
  <si>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</si>
  <si>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</si>
  <si>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</si>
  <si>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</si>
  <si>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</si>
  <si>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</si>
  <si>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</si>
  <si>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</si>
  <si>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</si>
  <si>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</si>
  <si>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</si>
  <si>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</si>
  <si>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</si>
  <si>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</si>
  <si>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</si>
  <si>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</si>
  <si>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</si>
  <si>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</si>
  <si>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</si>
  <si>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</si>
  <si>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</si>
  <si>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</si>
  <si>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</si>
  <si>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</si>
  <si>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</si>
  <si>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</si>
  <si>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</si>
  <si>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</si>
  <si>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</si>
  <si>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</si>
  <si>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</si>
  <si>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</si>
  <si>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</si>
  <si>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</si>
  <si>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</si>
  <si>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</si>
  <si>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</si>
  <si>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</si>
  <si>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</si>
  <si>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</si>
  <si>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</si>
  <si>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</si>
  <si>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</si>
  <si>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</si>
  <si>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</si>
  <si>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</si>
  <si>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</si>
  <si>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</si>
  <si>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</si>
  <si>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</si>
  <si>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</si>
  <si>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</si>
  <si>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</si>
  <si>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</si>
  <si>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</si>
  <si>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</si>
  <si>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</si>
  <si>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</si>
  <si>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</si>
  <si>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</si>
  <si>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</si>
  <si>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</si>
  <si>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</si>
  <si>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</si>
  <si>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</si>
  <si>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</si>
  <si>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</si>
  <si>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</si>
  <si>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</si>
  <si>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</si>
  <si>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</si>
  <si>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</si>
  <si>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</si>
  <si>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</si>
  <si>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</si>
  <si>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</si>
  <si>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</si>
  <si>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</si>
  <si>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</si>
  <si>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</si>
  <si>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</si>
  <si>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</si>
  <si>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</si>
  <si>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</si>
  <si>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</si>
  <si>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</si>
  <si>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</si>
  <si>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</si>
  <si>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</si>
  <si>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</si>
  <si>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</si>
  <si>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</si>
  <si>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</si>
  <si>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</si>
  <si>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</si>
  <si>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</si>
  <si>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</si>
  <si>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</si>
  <si>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</si>
  <si>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</si>
  <si>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</si>
  <si>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</si>
  <si>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</si>
  <si>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</si>
  <si>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</si>
  <si>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</si>
  <si>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</si>
  <si>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</si>
  <si>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</si>
  <si>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</si>
  <si>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</si>
  <si>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</si>
  <si>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</si>
  <si>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</si>
  <si>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</si>
  <si>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</si>
  <si>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</si>
  <si>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</si>
  <si>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</si>
  <si>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</si>
  <si>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</si>
  <si>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</si>
  <si>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</si>
  <si>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0941.HK</t>
    <phoneticPr fontId="20" type="noConversion"/>
  </si>
  <si>
    <t>中国移动</t>
    <phoneticPr fontId="20" type="noConversion"/>
  </si>
  <si>
    <t>C0010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</si>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</sst>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E6" sqref="E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0941.HK</v>
      </c>
      <c r="D3" s="247"/>
      <c r="E3" s="87"/>
      <c r="F3" s="3" t="s">
        <v>1</v>
      </c>
      <c r="G3" s="133">
        <v>70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中国移动</v>
      </c>
      <c r="D4" s="249"/>
      <c r="E4" s="87"/>
      <c r="F4" s="3" t="s">
        <v>3</v>
      </c>
      <c r="G4" s="252">
        <f>Inputs!C10</f>
        <v>21481669957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1503716.89699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C0010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0.66167150000644004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3.6955976811858409E-3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0.17959118565275847</v>
      </c>
      <c r="F23" s="141" t="s">
        <v>204</v>
      </c>
      <c r="G23" s="183">
        <f>G3/(Data!C36*Data!C4/Common_Shares*Exchange_Rate)</f>
        <v>1.0069746394903105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8.4130056929166572E-2</v>
      </c>
    </row>
    <row r="25" spans="1:8" ht="15.75" customHeight="1" x14ac:dyDescent="0.4">
      <c r="B25" s="138" t="s">
        <v>208</v>
      </c>
      <c r="C25" s="177">
        <f>Fin_Analysis!I82</f>
        <v>1.6744128904032363E-4</v>
      </c>
      <c r="F25" s="141" t="s">
        <v>188</v>
      </c>
      <c r="G25" s="177">
        <f>Fin_Analysis!I88</f>
        <v>0.83334301427395785</v>
      </c>
    </row>
    <row r="26" spans="1:8" ht="15.75" customHeight="1" x14ac:dyDescent="0.4">
      <c r="B26" s="139" t="s">
        <v>187</v>
      </c>
      <c r="C26" s="177">
        <f>Fin_Analysis!I83</f>
        <v>0.15487427537057533</v>
      </c>
      <c r="F26" s="142" t="s">
        <v>210</v>
      </c>
      <c r="G26" s="184">
        <f>Fin_Analysis!H88*Exchange_Rate/G3</f>
        <v>7.0109195232391341E-2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53.560145486130679</v>
      </c>
      <c r="D29" s="130">
        <f>IF(Fin_Analysis!C108="Profit",Fin_Analysis!I100,IF(Fin_Analysis!C108="Dividend",Fin_Analysis!I103,Fin_Analysis!I106))</f>
        <v>95.561564475297374</v>
      </c>
      <c r="E29" s="87"/>
      <c r="F29" s="132">
        <f>IF(Fin_Analysis!C108="Profit",Fin_Analysis!F100,IF(Fin_Analysis!C108="Dividend",Fin_Analysis!F103,Fin_Analysis!F106))</f>
        <v>76.376347376842119</v>
      </c>
      <c r="G29" s="243">
        <f>IF(Fin_Analysis!C108="Profit",Fin_Analysis!H100,IF(Fin_Analysis!C108="Dividend",Fin_Analysis!H103,Fin_Analysis!H106))</f>
        <v>76.449251580237899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246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2.175+2.373</f>
        <v>4.548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4.548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21481669957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1009309</v>
      </c>
      <c r="D19" s="152">
        <v>937259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0</v>
      </c>
      <c r="D20" s="153">
        <v>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874963</v>
      </c>
      <c r="D21" s="153">
        <v>808160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207132</v>
      </c>
      <c r="D22" s="153">
        <v>200077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181263</v>
      </c>
      <c r="D24" s="153">
        <v>189588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22422</v>
      </c>
      <c r="D25" s="153">
        <v>22811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3730</v>
      </c>
      <c r="D26" s="153">
        <v>2330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169</v>
      </c>
      <c r="D27" s="153">
        <v>135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498104</v>
      </c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>
        <v>68428</v>
      </c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>
        <v>12026</v>
      </c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558565</v>
      </c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88107</v>
      </c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35175</v>
      </c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67759</v>
      </c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1345985</v>
      </c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4253</v>
      </c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>
        <v>795161</v>
      </c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>
        <v>172891</v>
      </c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>
        <v>100939</v>
      </c>
      <c r="D42" s="60">
        <f>D43</f>
        <v>0.6</v>
      </c>
      <c r="E42" s="113"/>
    </row>
    <row r="43" spans="2:13" ht="13.9" x14ac:dyDescent="0.4">
      <c r="B43" s="3" t="s">
        <v>42</v>
      </c>
      <c r="C43" s="59">
        <v>176336</v>
      </c>
      <c r="D43" s="60">
        <v>0.6</v>
      </c>
      <c r="E43" s="113"/>
    </row>
    <row r="44" spans="2:13" ht="13.9" x14ac:dyDescent="0.4">
      <c r="B44" s="3" t="s">
        <v>44</v>
      </c>
      <c r="C44" s="59">
        <v>19344</v>
      </c>
      <c r="D44" s="60">
        <v>0.5</v>
      </c>
      <c r="E44" s="113"/>
    </row>
    <row r="45" spans="2:13" ht="13.9" x14ac:dyDescent="0.4">
      <c r="B45" s="1" t="s">
        <v>170</v>
      </c>
      <c r="C45" s="59">
        <v>22728</v>
      </c>
      <c r="D45" s="60">
        <f>D42</f>
        <v>0.6</v>
      </c>
      <c r="E45" s="113"/>
    </row>
    <row r="46" spans="2:13" ht="13.9" x14ac:dyDescent="0.4">
      <c r="B46" s="3" t="s">
        <v>122</v>
      </c>
      <c r="C46" s="59">
        <v>28822</v>
      </c>
      <c r="D46" s="60">
        <v>0.1</v>
      </c>
      <c r="E46" s="113"/>
    </row>
    <row r="47" spans="2:13" ht="13.9" x14ac:dyDescent="0.4">
      <c r="B47" s="3" t="s">
        <v>47</v>
      </c>
      <c r="C47" s="59">
        <v>12616</v>
      </c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>
        <v>507</v>
      </c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>
        <v>75495</v>
      </c>
      <c r="D52" s="60">
        <f>D41</f>
        <v>0.8</v>
      </c>
      <c r="E52" s="113"/>
    </row>
    <row r="53" spans="2:5" ht="13.9" x14ac:dyDescent="0.4">
      <c r="B53" s="3" t="s">
        <v>63</v>
      </c>
      <c r="C53" s="59">
        <v>182795</v>
      </c>
      <c r="D53" s="60">
        <f>D43</f>
        <v>0.6</v>
      </c>
      <c r="E53" s="113"/>
    </row>
    <row r="54" spans="2:5" ht="13.9" x14ac:dyDescent="0.4">
      <c r="B54" s="3" t="s">
        <v>65</v>
      </c>
      <c r="C54" s="59">
        <v>5625</v>
      </c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>
        <v>185013</v>
      </c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>
        <v>94862</v>
      </c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>
        <v>781712</v>
      </c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>
        <v>34291</v>
      </c>
      <c r="D62" s="60">
        <v>0.05</v>
      </c>
      <c r="E62" s="113"/>
    </row>
    <row r="63" spans="2:5" ht="13.9" x14ac:dyDescent="0.4">
      <c r="B63" s="3" t="s">
        <v>75</v>
      </c>
      <c r="C63" s="59">
        <v>47891</v>
      </c>
      <c r="D63" s="60">
        <f>D50</f>
        <v>0.9</v>
      </c>
      <c r="E63" s="113"/>
    </row>
    <row r="64" spans="2:5" ht="13.9" x14ac:dyDescent="0.4">
      <c r="B64" s="3" t="s">
        <v>76</v>
      </c>
      <c r="C64" s="59">
        <v>79740</v>
      </c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33448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554255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62222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83483</v>
      </c>
    </row>
    <row r="76" spans="2:3" ht="14.25" thickTop="1" x14ac:dyDescent="0.4">
      <c r="B76" s="73" t="s">
        <v>242</v>
      </c>
      <c r="C76" s="59">
        <v>1379544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130390.66666666667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1009309</v>
      </c>
      <c r="D6" s="209">
        <f>IF(Inputs!D19="","",Inputs!D19)</f>
        <v>937259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0</v>
      </c>
      <c r="D8" s="208">
        <f>IF(Inputs!D20="","",Inputs!D20)</f>
        <v>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1009309</v>
      </c>
      <c r="D9" s="154">
        <f t="shared" si="2"/>
        <v>937259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874963</v>
      </c>
      <c r="D10" s="208">
        <f>IF(Inputs!D21="","",Inputs!D21)</f>
        <v>808160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0.20522159219822672</v>
      </c>
      <c r="D11" s="155">
        <f t="shared" ref="D11:M11" si="3">IF(OR(D6="",D12=""),"",D12/D6)</f>
        <v>0.21347034277611632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207132</v>
      </c>
      <c r="D12" s="208">
        <f>IF(Inputs!D22="","",Inputs!D22)</f>
        <v>200077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341478</v>
      </c>
      <c r="D13" s="154">
        <f t="shared" ref="D13:M13" si="4">IF(D6="","",(D9-D10+MAX(D12,0)))</f>
        <v>329176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181263</v>
      </c>
      <c r="D15" s="208">
        <f>IF(Inputs!D24="","",Inputs!D24)</f>
        <v>189588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22422</v>
      </c>
      <c r="D16" s="208">
        <f>IF(Inputs!D25="","",Inputs!D25)</f>
        <v>22811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3730</v>
      </c>
      <c r="D17" s="208">
        <f>IF(Inputs!D26="","",Inputs!D26)</f>
        <v>2330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169</v>
      </c>
      <c r="D18" s="208">
        <f>IF(Inputs!D27="","",Inputs!D27)</f>
        <v>135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130390.66666666667</v>
      </c>
      <c r="D19" s="237">
        <f>IF(D6="","",D9-D10-MAX(D17,0)-MAX(D18,0)/(1-Fin_Analysis!$I$84))</f>
        <v>126589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3.0031571990194024E-2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133837.66666666666</v>
      </c>
      <c r="D21" s="77">
        <f>IF(D6="","",D13-MAX(D14,0)-MAX(D15,0)-MAX(D16,0)-MAX(D17,0)-MAX(D18,0)/(1-Fin_Analysis!$I$84))</f>
        <v>114267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0.17127137902164805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9.9452447169300975E-2</v>
      </c>
      <c r="D23" s="157">
        <f t="shared" si="7"/>
        <v>9.1437105431903032E-2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100378.25</v>
      </c>
      <c r="D24" s="77">
        <f>IF(D6="","",D21*(1-Fin_Analysis!$I$84))</f>
        <v>85700.25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0.17127137902164813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2021607</v>
      </c>
      <c r="D27" s="65">
        <f t="shared" ref="D27:M27" si="18">IF(D36="","",D36+D31+D32)</f>
        <v>1992657</v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534183</v>
      </c>
      <c r="D28" s="208">
        <f>IF(Inputs!D28="","",Inputs!D28)</f>
        <v>498104</v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100939</v>
      </c>
      <c r="D29" s="208">
        <f>IF(Inputs!D29="","",Inputs!D29)</f>
        <v>68428</v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12616</v>
      </c>
      <c r="D30" s="208">
        <f>IF(Inputs!D30="","",Inputs!D30)</f>
        <v>12026</v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554255</v>
      </c>
      <c r="D31" s="208">
        <f>IF(Inputs!D31="","",Inputs!D31)</f>
        <v>558565</v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83483</v>
      </c>
      <c r="D32" s="208">
        <f>IF(Inputs!D32="","",Inputs!D32)</f>
        <v>88107</v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33448</v>
      </c>
      <c r="D33" s="208">
        <f>IF(Inputs!D33="","",Inputs!D33)</f>
        <v>35175</v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62222</v>
      </c>
      <c r="D34" s="208">
        <f>IF(Inputs!D34="","",Inputs!D34)</f>
        <v>67759</v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95670</v>
      </c>
      <c r="D35" s="77">
        <f t="shared" ref="D35" si="20">IF(OR(D33="",D34=""),"",D33+D34)</f>
        <v>102934</v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1383869</v>
      </c>
      <c r="D36" s="208">
        <f>IF(Inputs!D35="","",Inputs!D35)</f>
        <v>1345985</v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4325</v>
      </c>
      <c r="D37" s="208">
        <f>IF(Inputs!D36="","",Inputs!D36)</f>
        <v>4253</v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817499</v>
      </c>
      <c r="D38" s="208">
        <f>IF(Inputs!D37="","",Inputs!D37)</f>
        <v>795161</v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1204108</v>
      </c>
      <c r="D39" s="65">
        <f>IF(D38="","",D27-D38)</f>
        <v>1197496</v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0.11115088236824824</v>
      </c>
      <c r="D40" s="160">
        <f>IF(D39="","",D21/D39)</f>
        <v>9.5421613099333946E-2</v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</v>
      </c>
      <c r="D42" s="161">
        <f t="shared" si="33"/>
        <v>0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0.66167150000644004</v>
      </c>
      <c r="D43" s="157">
        <f t="shared" ref="D43:M43" si="34">IF(D6="","",(D10-MAX(D12,0))/D6)</f>
        <v>0.64878864860193397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0.17959118565275847</v>
      </c>
      <c r="D44" s="157">
        <f t="shared" ref="D44:M44" si="35">IF(D6="","",(MAX(D14,0)+MAX(D15,0))/D6)</f>
        <v>0.20227919923948451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2.2215198715160572E-2</v>
      </c>
      <c r="D45" s="157">
        <f t="shared" si="36"/>
        <v>2.4337989819249534E-2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3.6955976811858409E-3</v>
      </c>
      <c r="D46" s="157">
        <f t="shared" ref="D46:M46" si="37">IF(D6="","",MAX(D17,0)/D6)</f>
        <v>2.4859723939700765E-3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2.2325505205376484E-4</v>
      </c>
      <c r="D47" s="157">
        <f>IF(D6="","",MAX(D18,0)/(1-Fin_Analysis!$I$84)/D6)</f>
        <v>1.9204936949125055E-4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0.13260326289240129</v>
      </c>
      <c r="D48" s="157">
        <f t="shared" si="38"/>
        <v>0.1219161405758707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0.10000802529255164</v>
      </c>
      <c r="D50" s="161">
        <f t="shared" ref="D50:M50" si="39">IF(D29="","",D29/D6)</f>
        <v>7.3008634753040522E-2</v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1.2499640843388893E-2</v>
      </c>
      <c r="D51" s="157">
        <f t="shared" ref="D51:M51" si="40">IF(D30="","",D30/D6)</f>
        <v>1.2831031763898772E-2</v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0.31546091797268211</v>
      </c>
      <c r="D53" s="161">
        <f t="shared" ref="D53:M53" si="41">IF(D36="","",(D27-D36)/D27)</f>
        <v>0.32452750272625946</v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1.398951256053796</v>
      </c>
      <c r="D54" s="162">
        <f t="shared" ref="D54:M54" si="42">IF(OR(D21="",D35=""),"",IF(D35&lt;=0,"-",D21/D35))</f>
        <v>1.1100996755202364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2.7869583301163351E-2</v>
      </c>
      <c r="D55" s="157">
        <f t="shared" ref="D55:M55" si="43">IF(D21="","",IF(MAX(D17,0)&lt;=0,"-",D17/D21))</f>
        <v>2.0390838999886231E-2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0.96378562214143304</v>
      </c>
      <c r="D56" s="163">
        <f t="shared" si="44"/>
        <v>0.89175655474295745</v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4" zoomScaleNormal="100" workbookViewId="0">
      <selection activeCell="D103" sqref="D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1383869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1379544</v>
      </c>
      <c r="K3" s="24"/>
    </row>
    <row r="4" spans="1:11" ht="15" customHeight="1" x14ac:dyDescent="0.4">
      <c r="B4" s="3" t="s">
        <v>25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0.96378562214143304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-25580.947275748043</v>
      </c>
      <c r="E6" s="56">
        <f>1-D6/D3</f>
        <v>1.0184850930801601</v>
      </c>
      <c r="F6" s="87"/>
      <c r="G6" s="87"/>
      <c r="H6" s="1" t="s">
        <v>30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172891</v>
      </c>
      <c r="D11" s="207">
        <f>Inputs!D40</f>
        <v>0.9</v>
      </c>
      <c r="E11" s="88">
        <f t="shared" ref="E11:E22" si="0">C11*D11</f>
        <v>155601.9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33448</v>
      </c>
      <c r="J12" s="87"/>
      <c r="K12" s="24"/>
    </row>
    <row r="13" spans="1:11" ht="13.9" x14ac:dyDescent="0.4">
      <c r="B13" s="3" t="s">
        <v>121</v>
      </c>
      <c r="C13" s="40">
        <f>Inputs!C42</f>
        <v>100939</v>
      </c>
      <c r="D13" s="207">
        <f>Inputs!D42</f>
        <v>0.6</v>
      </c>
      <c r="E13" s="88">
        <f t="shared" si="0"/>
        <v>60563.399999999994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176336</v>
      </c>
      <c r="D14" s="207">
        <f>Inputs!D43</f>
        <v>0.6</v>
      </c>
      <c r="E14" s="88">
        <f t="shared" si="0"/>
        <v>105801.59999999999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19344</v>
      </c>
      <c r="D15" s="207">
        <f>Inputs!D44</f>
        <v>0.5</v>
      </c>
      <c r="E15" s="88">
        <f t="shared" si="0"/>
        <v>9672</v>
      </c>
      <c r="F15" s="113"/>
      <c r="G15" s="87"/>
      <c r="H15" s="1" t="s">
        <v>54</v>
      </c>
      <c r="I15" s="84">
        <f>SUM(I11:I14)</f>
        <v>33448</v>
      </c>
      <c r="J15" s="87"/>
    </row>
    <row r="16" spans="1:11" ht="13.9" x14ac:dyDescent="0.4">
      <c r="B16" s="1" t="s">
        <v>170</v>
      </c>
      <c r="C16" s="40">
        <f>Inputs!C45</f>
        <v>22728</v>
      </c>
      <c r="D16" s="207">
        <f>Inputs!D45</f>
        <v>0.6</v>
      </c>
      <c r="E16" s="88">
        <f t="shared" si="0"/>
        <v>13636.8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28822</v>
      </c>
      <c r="D17" s="207">
        <f>Inputs!D46</f>
        <v>0.1</v>
      </c>
      <c r="E17" s="88">
        <f t="shared" si="0"/>
        <v>2882.2000000000003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12616</v>
      </c>
      <c r="D18" s="207">
        <f>Inputs!D47</f>
        <v>0.5</v>
      </c>
      <c r="E18" s="88">
        <f t="shared" si="0"/>
        <v>6308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507</v>
      </c>
      <c r="D21" s="207">
        <f>Inputs!D50</f>
        <v>0.9</v>
      </c>
      <c r="E21" s="88">
        <f t="shared" si="0"/>
        <v>456.3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4">
        <f>E24/$E$28</f>
        <v>0.90714782000111571</v>
      </c>
      <c r="G24" s="87"/>
    </row>
    <row r="25" spans="2:10" ht="15" customHeight="1" x14ac:dyDescent="0.4">
      <c r="B25" s="23" t="s">
        <v>55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4">
        <f>E25/$E$28</f>
        <v>7.3793637028058551E-2</v>
      </c>
      <c r="G25" s="87"/>
      <c r="H25" s="23" t="s">
        <v>56</v>
      </c>
      <c r="I25" s="63">
        <f>E28/I28</f>
        <v>0.64035904051384285</v>
      </c>
    </row>
    <row r="26" spans="2:10" ht="15" customHeight="1" x14ac:dyDescent="0.4">
      <c r="B26" s="23" t="s">
        <v>57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4">
        <f>E26/$E$28</f>
        <v>1.7772909105150371E-2</v>
      </c>
      <c r="G26" s="87"/>
      <c r="H26" s="23" t="s">
        <v>58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4">
        <f>E27/$E$28</f>
        <v>1.2856338656753511E-3</v>
      </c>
      <c r="G27" s="87"/>
      <c r="H27" s="23" t="s">
        <v>60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3"/>
      <c r="G28" s="87"/>
      <c r="H28" s="78" t="s">
        <v>16</v>
      </c>
      <c r="I28" s="215">
        <f>Inputs!C70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75495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182795</v>
      </c>
      <c r="D31" s="207">
        <f>Inputs!D53</f>
        <v>0.6</v>
      </c>
      <c r="E31" s="88">
        <f t="shared" ref="E31:E42" si="1">C31*D31</f>
        <v>109677</v>
      </c>
      <c r="F31" s="113"/>
      <c r="G31" s="87"/>
      <c r="H31" s="3" t="s">
        <v>64</v>
      </c>
      <c r="I31" s="40">
        <f>Inputs!C72</f>
        <v>62222</v>
      </c>
      <c r="J31" s="87"/>
    </row>
    <row r="32" spans="2:10" ht="15" customHeight="1" x14ac:dyDescent="0.4">
      <c r="B32" s="3" t="s">
        <v>65</v>
      </c>
      <c r="C32" s="40">
        <f>Inputs!C54</f>
        <v>5625</v>
      </c>
      <c r="D32" s="207">
        <f>Inputs!D54</f>
        <v>0.5</v>
      </c>
      <c r="E32" s="88">
        <f t="shared" si="1"/>
        <v>2812.5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62222</v>
      </c>
      <c r="J34" s="87"/>
    </row>
    <row r="35" spans="2:10" ht="13.9" x14ac:dyDescent="0.4">
      <c r="B35" s="3" t="s">
        <v>70</v>
      </c>
      <c r="C35" s="40">
        <f>Inputs!C57</f>
        <v>185013</v>
      </c>
      <c r="D35" s="207">
        <f>Inputs!D57</f>
        <v>0.1</v>
      </c>
      <c r="E35" s="88">
        <f t="shared" si="1"/>
        <v>18501.3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94862</v>
      </c>
      <c r="D37" s="207">
        <f>Inputs!D59</f>
        <v>0.1</v>
      </c>
      <c r="E37" s="88">
        <f t="shared" si="1"/>
        <v>9486.2000000000007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781712</v>
      </c>
      <c r="D38" s="207">
        <f>Inputs!D60</f>
        <v>0.1</v>
      </c>
      <c r="E38" s="88">
        <f t="shared" si="1"/>
        <v>78171.199999999997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34291</v>
      </c>
      <c r="D40" s="207">
        <f>Inputs!D62</f>
        <v>0.05</v>
      </c>
      <c r="E40" s="88">
        <f t="shared" si="1"/>
        <v>1714.5500000000002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47891</v>
      </c>
      <c r="D41" s="207">
        <f>Inputs!D63</f>
        <v>0.9</v>
      </c>
      <c r="E41" s="88">
        <f t="shared" si="1"/>
        <v>43101.9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79740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81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83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85</v>
      </c>
      <c r="I48" s="216">
        <f>Inputs!C75</f>
        <v>83483</v>
      </c>
      <c r="J48" s="8"/>
    </row>
    <row r="49" spans="2:11" ht="15" customHeight="1" thickTop="1" x14ac:dyDescent="0.4">
      <c r="B49" s="3" t="s">
        <v>14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86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4325</v>
      </c>
      <c r="D53" s="29">
        <f>IF(E53=0, 0,E53/C53)</f>
        <v>1.0069746394903105</v>
      </c>
      <c r="E53" s="88">
        <f>IF(C53=0,0,MAX(C53,C53*Dashboard!G23))</f>
        <v>4355.1653157955934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95670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248386</v>
      </c>
      <c r="D62" s="108">
        <f t="shared" si="2"/>
        <v>0.62645197394378105</v>
      </c>
      <c r="E62" s="119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1009309</v>
      </c>
      <c r="D74" s="218"/>
      <c r="E74" s="205">
        <f>H74</f>
        <v>1009309</v>
      </c>
      <c r="F74" s="218"/>
      <c r="H74" s="205">
        <f>C74</f>
        <v>1009309</v>
      </c>
      <c r="I74" s="218"/>
      <c r="K74" s="24"/>
    </row>
    <row r="75" spans="1:11" ht="15" customHeight="1" x14ac:dyDescent="0.4">
      <c r="B75" s="105" t="s">
        <v>109</v>
      </c>
      <c r="C75" s="77">
        <f>Data!C8</f>
        <v>0</v>
      </c>
      <c r="D75" s="164">
        <f>C75/$C$74</f>
        <v>0</v>
      </c>
      <c r="E75" s="186">
        <f>E74*F75</f>
        <v>0</v>
      </c>
      <c r="F75" s="165">
        <f>I75</f>
        <v>0</v>
      </c>
      <c r="H75" s="205">
        <f>D75*H74</f>
        <v>0</v>
      </c>
      <c r="I75" s="165">
        <f>H75/$H$74</f>
        <v>0</v>
      </c>
      <c r="K75" s="24"/>
    </row>
    <row r="76" spans="1:11" ht="15" customHeight="1" x14ac:dyDescent="0.4">
      <c r="B76" s="35" t="s">
        <v>96</v>
      </c>
      <c r="C76" s="166">
        <f>C74-C75</f>
        <v>1009309</v>
      </c>
      <c r="D76" s="219"/>
      <c r="E76" s="167">
        <f>E74-E75</f>
        <v>1009309</v>
      </c>
      <c r="F76" s="219"/>
      <c r="H76" s="167">
        <f>H74-H75</f>
        <v>1009309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667831</v>
      </c>
      <c r="D77" s="164">
        <f>C77/$C$74</f>
        <v>0.66167150000644004</v>
      </c>
      <c r="E77" s="186">
        <f>E74*F77</f>
        <v>667831</v>
      </c>
      <c r="F77" s="165">
        <f>I77</f>
        <v>0.66167150000644004</v>
      </c>
      <c r="H77" s="205">
        <f>D77*H74</f>
        <v>667831</v>
      </c>
      <c r="I77" s="165">
        <f>H77/$H$74</f>
        <v>0.66167150000644004</v>
      </c>
      <c r="K77" s="24"/>
    </row>
    <row r="78" spans="1:11" ht="15" customHeight="1" x14ac:dyDescent="0.4">
      <c r="B78" s="35" t="s">
        <v>97</v>
      </c>
      <c r="C78" s="166">
        <f>C76-C77</f>
        <v>341478</v>
      </c>
      <c r="D78" s="219"/>
      <c r="E78" s="167">
        <f>E76-E77</f>
        <v>341478</v>
      </c>
      <c r="F78" s="219"/>
      <c r="H78" s="167">
        <f>H76-H77</f>
        <v>341478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3730</v>
      </c>
      <c r="D79" s="164">
        <f>C79/$C$74</f>
        <v>3.6955976811858409E-3</v>
      </c>
      <c r="E79" s="186">
        <f>E74*F79</f>
        <v>3730</v>
      </c>
      <c r="F79" s="165">
        <f t="shared" ref="F79:F84" si="3">I79</f>
        <v>3.6955976811858409E-3</v>
      </c>
      <c r="H79" s="205">
        <f>C79</f>
        <v>3730</v>
      </c>
      <c r="I79" s="165">
        <f>H79/$H$74</f>
        <v>3.6955976811858409E-3</v>
      </c>
      <c r="K79" s="24"/>
    </row>
    <row r="80" spans="1:11" ht="15" customHeight="1" x14ac:dyDescent="0.4">
      <c r="B80" s="28" t="s">
        <v>135</v>
      </c>
      <c r="C80" s="77">
        <f>MAX(Data!C14,0)+MAX(Data!C15,0)</f>
        <v>181263</v>
      </c>
      <c r="D80" s="164">
        <f>C80/$C$74</f>
        <v>0.17959118565275847</v>
      </c>
      <c r="E80" s="186">
        <f>E74*F80</f>
        <v>181263</v>
      </c>
      <c r="F80" s="165">
        <f t="shared" si="3"/>
        <v>0.17959118565275847</v>
      </c>
      <c r="H80" s="205">
        <f>H74*D80</f>
        <v>181263</v>
      </c>
      <c r="I80" s="165">
        <f>H80/$H$74</f>
        <v>0.17959118565275847</v>
      </c>
      <c r="K80" s="24"/>
    </row>
    <row r="81" spans="1:11" ht="15" customHeight="1" x14ac:dyDescent="0.4">
      <c r="B81" s="28" t="s">
        <v>113</v>
      </c>
      <c r="C81" s="77">
        <f>MAX(Data!C16,0)</f>
        <v>22422</v>
      </c>
      <c r="D81" s="164">
        <f>C81/$C$74</f>
        <v>2.2215198715160572E-2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169</v>
      </c>
      <c r="D82" s="164">
        <f>C82/$C$74</f>
        <v>1.6744128904032363E-4</v>
      </c>
      <c r="E82" s="186">
        <f>E74*F82</f>
        <v>169</v>
      </c>
      <c r="F82" s="165">
        <f t="shared" si="3"/>
        <v>1.6744128904032363E-4</v>
      </c>
      <c r="H82" s="205">
        <f>H74*D82</f>
        <v>169</v>
      </c>
      <c r="I82" s="165">
        <f>H82/$H$74</f>
        <v>1.6744128904032363E-4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133894</v>
      </c>
      <c r="D83" s="169">
        <f>C83/$C$74</f>
        <v>0.13265907665541474</v>
      </c>
      <c r="E83" s="170">
        <f>E78-E79-E80-E81-E82</f>
        <v>156316</v>
      </c>
      <c r="F83" s="169">
        <f>E83/E74</f>
        <v>0.15487427537057533</v>
      </c>
      <c r="H83" s="170">
        <f>H78-H79-H80-H81-H82</f>
        <v>156316</v>
      </c>
      <c r="I83" s="169">
        <f>H83/$H$74</f>
        <v>0.15487427537057533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100420.5</v>
      </c>
      <c r="D85" s="171">
        <f>C85/$C$74</f>
        <v>9.949430749156106E-2</v>
      </c>
      <c r="E85" s="172">
        <f>E83*(1-F84)</f>
        <v>117237</v>
      </c>
      <c r="F85" s="171">
        <f>E85/E74</f>
        <v>0.11615570652793149</v>
      </c>
      <c r="H85" s="172">
        <f>H83*(1-I84)</f>
        <v>117237</v>
      </c>
      <c r="I85" s="171">
        <f>H85/$H$74</f>
        <v>0.11615570652793149</v>
      </c>
      <c r="K85" s="24"/>
    </row>
    <row r="86" spans="1:11" ht="15" customHeight="1" x14ac:dyDescent="0.4">
      <c r="B86" s="87" t="s">
        <v>172</v>
      </c>
      <c r="C86" s="173">
        <f>C85*Data!C4/Common_Shares</f>
        <v>4.6747063985720096</v>
      </c>
      <c r="D86" s="218"/>
      <c r="E86" s="174">
        <f>E85*Data!C4/Common_Shares</f>
        <v>5.4575365990946736</v>
      </c>
      <c r="F86" s="218"/>
      <c r="H86" s="174">
        <f>H85*Data!C4/Common_Shares</f>
        <v>5.4575365990946736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7.2062423824009264E-2</v>
      </c>
      <c r="D87" s="218"/>
      <c r="E87" s="239">
        <f>E86*Exchange_Rate/Dashboard!G3</f>
        <v>8.4130056929166572E-2</v>
      </c>
      <c r="F87" s="218"/>
      <c r="H87" s="239">
        <f>H86*Exchange_Rate/Dashboard!G3</f>
        <v>8.4130056929166572E-2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4.548</v>
      </c>
      <c r="D88" s="171">
        <f>C88/C86</f>
        <v>0.972895324803561</v>
      </c>
      <c r="E88" s="204">
        <f>H88</f>
        <v>4.548</v>
      </c>
      <c r="F88" s="171">
        <f>E88/E86</f>
        <v>0.83334301427395785</v>
      </c>
      <c r="H88" s="176">
        <f>Inputs!F6</f>
        <v>4.548</v>
      </c>
      <c r="I88" s="171">
        <f>H88/H86</f>
        <v>0.83334301427395785</v>
      </c>
      <c r="K88" s="24"/>
    </row>
    <row r="89" spans="1:11" ht="15" customHeight="1" x14ac:dyDescent="0.4">
      <c r="B89" s="87" t="s">
        <v>245</v>
      </c>
      <c r="C89" s="165">
        <f>C88*Exchange_Rate/Dashboard!G3</f>
        <v>7.0109195232391341E-2</v>
      </c>
      <c r="D89" s="218"/>
      <c r="E89" s="165">
        <f>E88*Exchange_Rate/Dashboard!G3</f>
        <v>7.0109195232391341E-2</v>
      </c>
      <c r="F89" s="218"/>
      <c r="H89" s="165">
        <f>H88*Exchange_Rate/Dashboard!G3</f>
        <v>7.0109195232391341E-2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113.51966119131359</v>
      </c>
      <c r="H93" s="87" t="s">
        <v>229</v>
      </c>
      <c r="I93" s="146">
        <f>FV(H87,D93,0,-(H86/C93))</f>
        <v>113.51966119131359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88.63973295336217</v>
      </c>
      <c r="H94" s="87" t="s">
        <v>230</v>
      </c>
      <c r="I94" s="146">
        <f>FV(H89,D93,0,-(H88/C93))</f>
        <v>88.63973295336217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1858736.2347152708</v>
      </c>
      <c r="E97" s="124">
        <f>PV(C94,D93,0,-F93)*Exchange_Rate</f>
        <v>60.902406046526465</v>
      </c>
      <c r="F97" s="124">
        <f>PV(C93,D93,0,-F93)*Exchange_Rate</f>
        <v>86.52661727118587</v>
      </c>
      <c r="H97" s="124">
        <f>PV(C93,D93,0,-I93)*Exchange_Rate</f>
        <v>86.52661727118587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4699.5601314009855</v>
      </c>
      <c r="E98" s="222"/>
      <c r="F98" s="222"/>
      <c r="H98" s="124">
        <f>C98*Data!$C$4/Common_Shares</f>
        <v>0.21877070734296383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-20881.387144347056</v>
      </c>
      <c r="E99" s="223"/>
      <c r="F99" s="148">
        <f>IF(H99&gt;0,H99*0.85,H99*1.15)</f>
        <v>-1.1178644520685443</v>
      </c>
      <c r="H99" s="148">
        <f>C99*Data!$C$4/Common_Shares</f>
        <v>-0.97205604527699507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1833155.2874395228</v>
      </c>
      <c r="E100" s="110">
        <f>MAX(E97-H98+F99,0)</f>
        <v>59.565770887114958</v>
      </c>
      <c r="F100" s="110">
        <f>MAX(F97-H98+F99,0)</f>
        <v>85.189982111774356</v>
      </c>
      <c r="H100" s="110">
        <f>MAX(C100*Data!$C$4/Common_Shares,0)</f>
        <v>85.335790518565901</v>
      </c>
      <c r="I100" s="110">
        <f>H100*1.25</f>
        <v>106.66973814820737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1451359.8943731398</v>
      </c>
      <c r="E103" s="110">
        <f>PV(C94,D93,0,-F94)*Exchange_Rate</f>
        <v>47.554520085146393</v>
      </c>
      <c r="F103" s="124">
        <f>PV(C93,D93,0,-F94)*Exchange_Rate</f>
        <v>67.562712641909897</v>
      </c>
      <c r="H103" s="124">
        <f>PV(C93,D93,0,-I94)*Exchange_Rate</f>
        <v>67.562712641909897</v>
      </c>
      <c r="I103" s="110">
        <f>H103*1.25</f>
        <v>84.453390802387375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1640691.4868705051</v>
      </c>
      <c r="E106" s="110">
        <f>(E100+E103)/2</f>
        <v>53.560145486130679</v>
      </c>
      <c r="F106" s="124">
        <f>(F100+F103)/2</f>
        <v>76.376347376842119</v>
      </c>
      <c r="H106" s="124">
        <f>(H100+H103)/2</f>
        <v>76.449251580237899</v>
      </c>
      <c r="I106" s="110">
        <f>H106*1.25</f>
        <v>95.561564475297374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249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