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54BA38-8676-41DF-8ED0-36D0CAD702B6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6" i="4" l="1"/>
  <c r="F5" i="4"/>
  <c r="C3" i="1"/>
  <c r="C4" i="1"/>
  <c r="C5" i="1"/>
  <c r="D7" i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C7" i="1"/>
  <c r="C6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<sst xmlns="http://schemas.openxmlformats.org/spreadsheetml/2006/main" count="350" uniqueCount="250">
  <si>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</si>
  <si>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</si>
  <si>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</si>
  <si>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</si>
  <si>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</si>
  <si>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</si>
  <si>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</si>
  <si>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</si>
  <si>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</si>
  <si>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</si>
  <si>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</si>
  <si>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</si>
  <si>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</si>
  <si>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</si>
  <si>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</si>
  <si>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</si>
  <si>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</si>
  <si>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</si>
  <si>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</si>
  <si>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</si>
  <si>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</si>
  <si>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</si>
  <si>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</si>
  <si>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</si>
  <si>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</si>
  <si>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</si>
  <si>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</si>
  <si>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</si>
  <si>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</si>
  <si>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</si>
  <si>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</si>
  <si>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</si>
  <si>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</si>
  <si>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</si>
  <si>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</si>
  <si>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</si>
  <si>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</si>
  <si>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</si>
  <si>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</si>
  <si>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</si>
  <si>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</si>
  <si>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</si>
  <si>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</si>
  <si>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</si>
  <si>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</si>
  <si>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</si>
  <si>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</si>
  <si>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</si>
  <si>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</si>
  <si>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</si>
  <si>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</si>
  <si>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</si>
  <si>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</si>
  <si>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</si>
  <si>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</si>
  <si>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</si>
  <si>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</si>
  <si>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</si>
  <si>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</si>
  <si>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</si>
  <si>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</si>
  <si>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</si>
  <si>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</si>
  <si>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</si>
  <si>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</si>
  <si>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</si>
  <si>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</si>
  <si>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</si>
  <si>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</si>
  <si>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</si>
  <si>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</si>
  <si>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</si>
  <si>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</si>
  <si>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</si>
  <si>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</si>
  <si>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</si>
  <si>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</si>
  <si>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</si>
  <si>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</si>
  <si>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</si>
  <si>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</si>
  <si>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</si>
  <si>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</si>
  <si>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</si>
  <si>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</si>
  <si>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</si>
  <si>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</si>
  <si>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</si>
  <si>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</si>
  <si>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</si>
  <si>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</si>
  <si>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</si>
  <si>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</si>
  <si>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</si>
  <si>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</si>
  <si>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</si>
  <si>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</si>
  <si>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</si>
  <si>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</si>
  <si>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</si>
  <si>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</si>
  <si>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</si>
  <si>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</si>
  <si>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</si>
  <si>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</si>
  <si>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</si>
  <si>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</si>
  <si>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</si>
  <si>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</si>
  <si>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</si>
  <si>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</si>
  <si>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</si>
  <si>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</si>
  <si>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</si>
  <si>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</si>
  <si>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</si>
  <si>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</si>
  <si>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</si>
  <si>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</si>
  <si>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</si>
  <si>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</si>
  <si>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</si>
  <si>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</si>
  <si>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</si>
  <si>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</si>
  <si>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</si>
  <si>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</si>
  <si>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</si>
  <si>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</si>
  <si>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</si>
  <si>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</si>
  <si>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</si>
  <si>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</si>
  <si>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</si>
  <si>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</si>
  <si>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</si>
  <si>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</si>
  <si>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</si>
  <si>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</si>
  <si>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</si>
  <si>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</si>
  <si>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</si>
  <si>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</si>
  <si>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</si>
  <si>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</si>
  <si>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</si>
  <si>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</si>
  <si>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</si>
  <si>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</si>
  <si>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</si>
  <si>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</si>
  <si>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</si>
  <si>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</si>
  <si>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</si>
  <si>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</si>
  <si>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</si>
  <si>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</si>
  <si>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</si>
  <si>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</si>
  <si>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</si>
  <si>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</si>
  <si>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</si>
  <si>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</si>
  <si>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</si>
  <si>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</si>
  <si>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</si>
  <si>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</si>
  <si>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</si>
  <si>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</si>
  <si>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</si>
  <si>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</si>
  <si>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</si>
  <si>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</si>
  <si>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</si>
  <si>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</si>
  <si>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</si>
  <si>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</si>
  <si>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</si>
  <si>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</si>
  <si>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</si>
  <si>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</si>
  <si>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</si>
  <si>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</si>
  <si>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</si>
  <si>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</si>
  <si>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</si>
  <si>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</si>
  <si>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</si>
  <si>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</si>
  <si>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</si>
  <si>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</si>
  <si>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</si>
  <si>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</si>
  <si>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</si>
  <si>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</si>
  <si>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</si>
  <si>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</si>
  <si>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</si>
  <si>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</si>
  <si>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</si>
  <si>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</si>
  <si>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</si>
  <si>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</si>
  <si>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</si>
  <si>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</si>
  <si>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</si>
  <si>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</si>
  <si>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</si>
  <si>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</si>
  <si>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</si>
  <si>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</si>
  <si>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</si>
  <si>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</si>
  <si>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</si>
  <si>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</si>
  <si>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</si>
  <si>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</si>
  <si>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</si>
  <si>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</si>
  <si>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</si>
  <si>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</si>
  <si>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</si>
  <si>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</si>
  <si>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</si>
  <si>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</si>
  <si>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</si>
  <si>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</si>
  <si>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</si>
  <si>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</si>
  <si>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</si>
  <si>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</si>
  <si>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</si>
  <si>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</si>
  <si>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</si>
  <si>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</si>
  <si>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</si>
  <si>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</si>
  <si>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</si>
  <si>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</si>
  <si>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</si>
  <si>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</si>
  <si>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</si>
  <si>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</si>
  <si>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</si>
  <si>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</si>
  <si>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</si>
  <si>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</si>
  <si>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1398.HK</t>
    <phoneticPr fontId="20" type="noConversion"/>
  </si>
  <si>
    <t>工商银行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</si>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</sst>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1398.HK</v>
      </c>
      <c r="D3" s="247"/>
      <c r="E3" s="87"/>
      <c r="F3" s="3" t="s">
        <v>1</v>
      </c>
      <c r="G3" s="133">
        <v>4.6399998664855957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工商银行</v>
      </c>
      <c r="D4" s="249"/>
      <c r="E4" s="87"/>
      <c r="F4" s="3" t="s">
        <v>3</v>
      </c>
      <c r="G4" s="252">
        <f>Inputs!C10</f>
        <v>356406257089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45605</v>
      </c>
      <c r="D5" s="251"/>
      <c r="E5" s="34"/>
      <c r="F5" s="35" t="s">
        <v>102</v>
      </c>
      <c r="G5" s="244">
        <f>G3*G4/1000000</f>
        <v>1653724.9853075908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1.2012210534502537E-2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0.15470436118294414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0.48610500800425166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>
        <f>G3/(Data!C36*Data!C4/Common_Shares*Exchange_Rate)</f>
        <v>0.39656766301708424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0.26160019465397938</v>
      </c>
    </row>
    <row r="25" spans="1:8" ht="15.75" customHeight="1" x14ac:dyDescent="0.4">
      <c r="B25" s="138" t="s">
        <v>208</v>
      </c>
      <c r="C25" s="177">
        <f>Fin_Analysis!I82</f>
        <v>7.2783600033702114E-4</v>
      </c>
      <c r="F25" s="141" t="s">
        <v>188</v>
      </c>
      <c r="G25" s="177">
        <f>Fin_Analysis!I88</f>
        <v>0.27238632235665233</v>
      </c>
    </row>
    <row r="26" spans="1:8" ht="15.75" customHeight="1" x14ac:dyDescent="0.4">
      <c r="B26" s="139" t="s">
        <v>187</v>
      </c>
      <c r="C26" s="177">
        <f>Fin_Analysis!I83</f>
        <v>0.34645058427796466</v>
      </c>
      <c r="F26" s="142" t="s">
        <v>210</v>
      </c>
      <c r="G26" s="184">
        <f>Fin_Analysis!H88*Exchange_Rate/G3</f>
        <v>7.1256314949581831E-2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3.2209694378628289</v>
      </c>
      <c r="D29" s="130">
        <f>IF(Fin_Analysis!C108="Profit",Fin_Analysis!I100,IF(Fin_Analysis!C108="Dividend",Fin_Analysis!I103,Fin_Analysis!I106))</f>
        <v>5.720208935161585</v>
      </c>
      <c r="E29" s="87"/>
      <c r="F29" s="132">
        <f>IF(Fin_Analysis!C108="Profit",Fin_Analysis!F100,IF(Fin_Analysis!C108="Dividend",Fin_Analysis!F103,Fin_Analysis!F106))</f>
        <v>4.5761671481292678</v>
      </c>
      <c r="G29" s="243">
        <f>IF(Fin_Analysis!C108="Profit",Fin_Analysis!H100,IF(Fin_Analysis!C108="Dividend",Fin_Analysis!H103,Fin_Analysis!H106))</f>
        <v>4.5761671481292678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0.3064+0.1434</f>
        <v>0.44979999999999998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f>0.3064</f>
        <v>0.30640000000000001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356406257089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1542930</v>
      </c>
      <c r="D19" s="152">
        <v>1278674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18534</v>
      </c>
      <c r="D20" s="153">
        <v>16493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238698</v>
      </c>
      <c r="D21" s="153">
        <v>239351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750026</v>
      </c>
      <c r="D26" s="153">
        <v>586689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1123</v>
      </c>
      <c r="D27" s="153">
        <v>978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3628128</v>
      </c>
      <c r="D40" s="60">
        <v>0.9</v>
      </c>
      <c r="E40" s="113"/>
    </row>
    <row r="41" spans="2:13" ht="13.9" x14ac:dyDescent="0.4">
      <c r="B41" s="1" t="s">
        <v>146</v>
      </c>
      <c r="C41" s="59">
        <v>2171209</v>
      </c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>
        <v>3557823</v>
      </c>
      <c r="D43" s="60">
        <v>0.6</v>
      </c>
      <c r="E43" s="113"/>
    </row>
    <row r="44" spans="2:13" ht="13.9" x14ac:dyDescent="0.4">
      <c r="B44" s="3" t="s">
        <v>44</v>
      </c>
      <c r="C44" s="59">
        <v>9431099</v>
      </c>
      <c r="D44" s="60">
        <v>0.5</v>
      </c>
      <c r="E44" s="113"/>
    </row>
    <row r="45" spans="2:13" ht="13.9" x14ac:dyDescent="0.4">
      <c r="B45" s="1" t="s">
        <v>170</v>
      </c>
      <c r="C45" s="59">
        <v>27228377</v>
      </c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65568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297776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>
        <v>97938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638618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40496667</v>
      </c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>
        <v>1783937</v>
      </c>
    </row>
    <row r="70" spans="2:3" ht="14.25" thickBot="1" x14ac:dyDescent="0.45">
      <c r="B70" s="80" t="s">
        <v>16</v>
      </c>
      <c r="C70" s="83">
        <v>43252035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>
        <v>3234661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534174.66666666663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1542930</v>
      </c>
      <c r="D6" s="209">
        <f>IF(Inputs!D19="","",Inputs!D19)</f>
        <v>1278674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18534</v>
      </c>
      <c r="D8" s="208">
        <f>IF(Inputs!D20="","",Inputs!D20)</f>
        <v>16493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1524396</v>
      </c>
      <c r="D9" s="154">
        <f t="shared" si="2"/>
        <v>1262181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238698</v>
      </c>
      <c r="D10" s="208">
        <f>IF(Inputs!D21="","",Inputs!D21)</f>
        <v>239351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1285698</v>
      </c>
      <c r="D13" s="154">
        <f t="shared" ref="D13:M13" si="4">IF(D6="","",(D9-D10+MAX(D12,0)))</f>
        <v>1022830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750026</v>
      </c>
      <c r="D17" s="208">
        <f>IF(Inputs!D26="","",Inputs!D26)</f>
        <v>586689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1123</v>
      </c>
      <c r="D18" s="208">
        <f>IF(Inputs!D27="","",Inputs!D27)</f>
        <v>978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534174.66666666663</v>
      </c>
      <c r="D19" s="237">
        <f>IF(D6="","",D9-D10-MAX(D17,0)-MAX(D18,0)/(1-Fin_Analysis!$I$84))</f>
        <v>434837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0.22844805448171759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534174.66666666663</v>
      </c>
      <c r="D21" s="77">
        <f>IF(D6="","",D13-MAX(D14,0)-MAX(D15,0)-MAX(D16,0)-MAX(D17,0)-MAX(D18,0)/(1-Fin_Analysis!$I$84))</f>
        <v>434837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0.22844805448171759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0.25965597920838923</v>
      </c>
      <c r="D23" s="157">
        <f t="shared" si="7"/>
        <v>0.25505152212370003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400631</v>
      </c>
      <c r="D24" s="77">
        <f>IF(D6="","",D21*(1-Fin_Analysis!$I$84))</f>
        <v>326127.75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0.22844805448171768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47116536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46016636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43252035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42280604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42280604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3864501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629840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16682618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30433918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1.7551951959214277E-2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1.2012210534502537E-2</v>
      </c>
      <c r="D42" s="161">
        <f t="shared" si="33"/>
        <v>1.2898518308810534E-2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0.15470436118294414</v>
      </c>
      <c r="D43" s="157">
        <f t="shared" ref="D43:M43" si="34">IF(D6="","",(D10-MAX(D12,0))/D6)</f>
        <v>0.18718688266125691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0.48610500800425166</v>
      </c>
      <c r="D46" s="157">
        <f t="shared" ref="D46:M46" si="37">IF(D6="","",MAX(D17,0)/D6)</f>
        <v>0.45882609640924893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9.7044800044936142E-4</v>
      </c>
      <c r="D47" s="157">
        <f>IF(D6="","",MAX(D18,0)/(1-Fin_Analysis!$I$84)/D6)</f>
        <v>1.0198064557502538E-3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0.34620797227785227</v>
      </c>
      <c r="D48" s="157">
        <f t="shared" si="38"/>
        <v>0.34006869616493335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0.91797994232852775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1.2634035849314419E-2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1.4040838077932063</v>
      </c>
      <c r="D55" s="157">
        <f t="shared" ref="D55:M55" si="43">IF(D21="","",IF(MAX(D17,0)&lt;=0,"-",D17/D21))</f>
        <v>1.3492159130892725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1.0639184029144524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C107" sqref="C10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3864501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1.0639184029144524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-16798907.972264886</v>
      </c>
      <c r="E6" s="56">
        <f>1-D6/D3</f>
        <v>5.3469798486958302</v>
      </c>
      <c r="F6" s="87"/>
      <c r="G6" s="87"/>
      <c r="H6" s="1" t="s">
        <v>30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3628128</v>
      </c>
      <c r="D11" s="207">
        <f>Inputs!D40</f>
        <v>0.9</v>
      </c>
      <c r="E11" s="88">
        <f t="shared" ref="E11:E22" si="0">C11*D11</f>
        <v>3265315.2</v>
      </c>
      <c r="F11" s="113"/>
      <c r="G11" s="87"/>
      <c r="H11" s="3" t="s">
        <v>39</v>
      </c>
      <c r="I11" s="40">
        <f>Inputs!C66</f>
        <v>40496667</v>
      </c>
      <c r="J11" s="87"/>
      <c r="K11" s="24"/>
    </row>
    <row r="12" spans="1:11" ht="13.9" x14ac:dyDescent="0.4">
      <c r="B12" s="1" t="s">
        <v>146</v>
      </c>
      <c r="C12" s="40">
        <f>Inputs!C41</f>
        <v>2171209</v>
      </c>
      <c r="D12" s="207">
        <f>Inputs!D41</f>
        <v>0.8</v>
      </c>
      <c r="E12" s="88">
        <f t="shared" si="0"/>
        <v>1736967.2000000002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3557823</v>
      </c>
      <c r="D14" s="207">
        <f>Inputs!D43</f>
        <v>0.6</v>
      </c>
      <c r="E14" s="88">
        <f t="shared" si="0"/>
        <v>2134693.7999999998</v>
      </c>
      <c r="F14" s="113"/>
      <c r="G14" s="87"/>
      <c r="H14" s="86" t="s">
        <v>43</v>
      </c>
      <c r="I14" s="214">
        <f>Inputs!C69</f>
        <v>1783937</v>
      </c>
      <c r="J14" s="87"/>
      <c r="K14" s="27"/>
    </row>
    <row r="15" spans="1:11" ht="13.9" x14ac:dyDescent="0.4">
      <c r="B15" s="3" t="s">
        <v>44</v>
      </c>
      <c r="C15" s="40">
        <f>Inputs!C44</f>
        <v>9431099</v>
      </c>
      <c r="D15" s="207">
        <f>Inputs!D44</f>
        <v>0.5</v>
      </c>
      <c r="E15" s="88">
        <f t="shared" si="0"/>
        <v>4715549.5</v>
      </c>
      <c r="F15" s="113"/>
      <c r="G15" s="87"/>
      <c r="H15" s="1" t="s">
        <v>54</v>
      </c>
      <c r="I15" s="84">
        <f>SUM(I11:I14)</f>
        <v>42280604</v>
      </c>
      <c r="J15" s="87"/>
    </row>
    <row r="16" spans="1:11" ht="13.9" x14ac:dyDescent="0.4">
      <c r="B16" s="1" t="s">
        <v>170</v>
      </c>
      <c r="C16" s="40">
        <f>Inputs!C45</f>
        <v>27228377</v>
      </c>
      <c r="D16" s="207">
        <f>Inputs!D45</f>
        <v>0.6</v>
      </c>
      <c r="E16" s="88">
        <f t="shared" si="0"/>
        <v>16337026.199999999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4">
        <f>E24/$E$28</f>
        <v>0.25317806488438721</v>
      </c>
      <c r="G24" s="87"/>
    </row>
    <row r="25" spans="2:10" ht="15" customHeight="1" x14ac:dyDescent="0.4">
      <c r="B25" s="23" t="s">
        <v>55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4">
        <f>E25/$E$28</f>
        <v>0.74682193511561279</v>
      </c>
      <c r="G25" s="87"/>
      <c r="H25" s="23" t="s">
        <v>56</v>
      </c>
      <c r="I25" s="63">
        <f>E28/I28</f>
        <v>0.65175088062330477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>
        <f>E26/$E$28</f>
        <v>0</v>
      </c>
      <c r="G26" s="87"/>
      <c r="H26" s="23" t="s">
        <v>58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>
        <f>E27/$E$28</f>
        <v>0</v>
      </c>
      <c r="G27" s="87"/>
      <c r="H27" s="23" t="s">
        <v>60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3"/>
      <c r="G28" s="87"/>
      <c r="H28" s="78" t="s">
        <v>16</v>
      </c>
      <c r="I28" s="215">
        <f>Inputs!C70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65568</v>
      </c>
      <c r="D35" s="207">
        <f>Inputs!D57</f>
        <v>0.1</v>
      </c>
      <c r="E35" s="88">
        <f t="shared" si="1"/>
        <v>6556.8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297776</v>
      </c>
      <c r="D38" s="207">
        <f>Inputs!D60</f>
        <v>0.1</v>
      </c>
      <c r="E38" s="88">
        <f t="shared" si="1"/>
        <v>29777.600000000002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97938</v>
      </c>
      <c r="D41" s="207">
        <f>Inputs!D63</f>
        <v>0.9</v>
      </c>
      <c r="E41" s="88">
        <f t="shared" si="1"/>
        <v>88144.2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638618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81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83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86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42280604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3628128</v>
      </c>
      <c r="D62" s="108">
        <f t="shared" si="2"/>
        <v>0.9</v>
      </c>
      <c r="E62" s="119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1542930</v>
      </c>
      <c r="D74" s="218"/>
      <c r="E74" s="205">
        <f>H74</f>
        <v>1542930</v>
      </c>
      <c r="F74" s="218"/>
      <c r="H74" s="205">
        <f>C74</f>
        <v>1542930</v>
      </c>
      <c r="I74" s="218"/>
      <c r="K74" s="24"/>
    </row>
    <row r="75" spans="1:11" ht="15" customHeight="1" x14ac:dyDescent="0.4">
      <c r="B75" s="105" t="s">
        <v>109</v>
      </c>
      <c r="C75" s="77">
        <f>Data!C8</f>
        <v>18534</v>
      </c>
      <c r="D75" s="164">
        <f>C75/$C$74</f>
        <v>1.2012210534502537E-2</v>
      </c>
      <c r="E75" s="186">
        <f>E74*F75</f>
        <v>18534</v>
      </c>
      <c r="F75" s="165">
        <f>I75</f>
        <v>1.2012210534502537E-2</v>
      </c>
      <c r="H75" s="205">
        <f>D75*H74</f>
        <v>18534</v>
      </c>
      <c r="I75" s="165">
        <f>H75/$H$74</f>
        <v>1.2012210534502537E-2</v>
      </c>
      <c r="K75" s="24"/>
    </row>
    <row r="76" spans="1:11" ht="15" customHeight="1" x14ac:dyDescent="0.4">
      <c r="B76" s="35" t="s">
        <v>96</v>
      </c>
      <c r="C76" s="166">
        <f>C74-C75</f>
        <v>1524396</v>
      </c>
      <c r="D76" s="219"/>
      <c r="E76" s="167">
        <f>E74-E75</f>
        <v>1524396</v>
      </c>
      <c r="F76" s="219"/>
      <c r="H76" s="167">
        <f>H74-H75</f>
        <v>1524396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238698</v>
      </c>
      <c r="D77" s="164">
        <f>C77/$C$74</f>
        <v>0.15470436118294414</v>
      </c>
      <c r="E77" s="186">
        <f>E74*F77</f>
        <v>238698</v>
      </c>
      <c r="F77" s="165">
        <f>I77</f>
        <v>0.15470436118294414</v>
      </c>
      <c r="H77" s="205">
        <f>D77*H74</f>
        <v>238698</v>
      </c>
      <c r="I77" s="165">
        <f>H77/$H$74</f>
        <v>0.15470436118294414</v>
      </c>
      <c r="K77" s="24"/>
    </row>
    <row r="78" spans="1:11" ht="15" customHeight="1" x14ac:dyDescent="0.4">
      <c r="B78" s="35" t="s">
        <v>97</v>
      </c>
      <c r="C78" s="166">
        <f>C76-C77</f>
        <v>1285698</v>
      </c>
      <c r="D78" s="219"/>
      <c r="E78" s="167">
        <f>E76-E77</f>
        <v>1285698</v>
      </c>
      <c r="F78" s="219"/>
      <c r="H78" s="167">
        <f>H76-H77</f>
        <v>1285698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750026</v>
      </c>
      <c r="D79" s="164">
        <f>C79/$C$74</f>
        <v>0.48610500800425166</v>
      </c>
      <c r="E79" s="186">
        <f>E74*F79</f>
        <v>750026</v>
      </c>
      <c r="F79" s="165">
        <f t="shared" ref="F79:F84" si="3">I79</f>
        <v>0.48610500800425166</v>
      </c>
      <c r="H79" s="205">
        <f>C79</f>
        <v>750026</v>
      </c>
      <c r="I79" s="165">
        <f>H79/$H$74</f>
        <v>0.48610500800425166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1123</v>
      </c>
      <c r="D82" s="164">
        <f>C82/$C$74</f>
        <v>7.2783600033702114E-4</v>
      </c>
      <c r="E82" s="186">
        <f>E74*F82</f>
        <v>1123</v>
      </c>
      <c r="F82" s="165">
        <f t="shared" si="3"/>
        <v>7.2783600033702114E-4</v>
      </c>
      <c r="H82" s="205">
        <f>H74*D82</f>
        <v>1123</v>
      </c>
      <c r="I82" s="165">
        <f>H82/$H$74</f>
        <v>7.2783600033702114E-4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534549</v>
      </c>
      <c r="D83" s="169">
        <f>C83/$C$74</f>
        <v>0.34645058427796466</v>
      </c>
      <c r="E83" s="170">
        <f>E78-E79-E80-E81-E82</f>
        <v>534549</v>
      </c>
      <c r="F83" s="169">
        <f>E83/E74</f>
        <v>0.34645058427796466</v>
      </c>
      <c r="H83" s="170">
        <f>H78-H79-H80-H81-H82</f>
        <v>534549</v>
      </c>
      <c r="I83" s="169">
        <f>H83/$H$74</f>
        <v>0.34645058427796466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400911.75</v>
      </c>
      <c r="D85" s="171">
        <f>C85/$C$74</f>
        <v>0.25983793820847351</v>
      </c>
      <c r="E85" s="172">
        <f>E83*(1-F84)</f>
        <v>400911.75</v>
      </c>
      <c r="F85" s="171">
        <f>E85/E74</f>
        <v>0.25983793820847351</v>
      </c>
      <c r="H85" s="172">
        <f>H83*(1-I84)</f>
        <v>400911.75</v>
      </c>
      <c r="I85" s="171">
        <f>H85/$H$74</f>
        <v>0.25983793820847351</v>
      </c>
      <c r="K85" s="24"/>
    </row>
    <row r="86" spans="1:11" ht="15" customHeight="1" x14ac:dyDescent="0.4">
      <c r="B86" s="87" t="s">
        <v>172</v>
      </c>
      <c r="C86" s="173">
        <f>C85*Data!C4/Common_Shares</f>
        <v>1.1248729280863503</v>
      </c>
      <c r="D86" s="218"/>
      <c r="E86" s="174">
        <f>E85*Data!C4/Common_Shares</f>
        <v>1.1248729280863503</v>
      </c>
      <c r="F86" s="218"/>
      <c r="H86" s="174">
        <f>H85*Data!C4/Common_Shares</f>
        <v>1.1248729280863503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0.26160019465397938</v>
      </c>
      <c r="D87" s="218"/>
      <c r="E87" s="239">
        <f>E86*Exchange_Rate/Dashboard!G3</f>
        <v>0.26160019465397938</v>
      </c>
      <c r="F87" s="218"/>
      <c r="H87" s="239">
        <f>H86*Exchange_Rate/Dashboard!G3</f>
        <v>0.26160019465397938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0.44979999999999998</v>
      </c>
      <c r="D88" s="171">
        <f>C88/C86</f>
        <v>0.39986738836821867</v>
      </c>
      <c r="E88" s="204">
        <f>H88</f>
        <v>0.30640000000000001</v>
      </c>
      <c r="F88" s="171">
        <f>E88/E86</f>
        <v>0.27238632235665233</v>
      </c>
      <c r="H88" s="176">
        <f>Inputs!F6</f>
        <v>0.30640000000000001</v>
      </c>
      <c r="I88" s="171">
        <f>H88/H86</f>
        <v>0.27238632235665233</v>
      </c>
      <c r="K88" s="24"/>
    </row>
    <row r="89" spans="1:11" ht="15" customHeight="1" x14ac:dyDescent="0.4">
      <c r="B89" s="87" t="s">
        <v>246</v>
      </c>
      <c r="C89" s="165">
        <f>C88*Exchange_Rate/Dashboard!G3</f>
        <v>0.10460538663290439</v>
      </c>
      <c r="D89" s="218"/>
      <c r="E89" s="165">
        <f>E88*Exchange_Rate/Dashboard!G3</f>
        <v>7.1256314949581831E-2</v>
      </c>
      <c r="F89" s="218"/>
      <c r="H89" s="165">
        <f>H88*Exchange_Rate/Dashboard!G3</f>
        <v>7.1256314949581831E-2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49.932085455299514</v>
      </c>
      <c r="H93" s="87" t="s">
        <v>229</v>
      </c>
      <c r="I93" s="146">
        <f>FV(H87,D93,0,-(H86/C93))</f>
        <v>49.932085455299514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6.0037588500925629</v>
      </c>
      <c r="H94" s="87" t="s">
        <v>230</v>
      </c>
      <c r="I94" s="146">
        <f>FV(H89,D93,0,-(H88/C93))</f>
        <v>6.0037588500925629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13564496.074811907</v>
      </c>
      <c r="E97" s="124">
        <f>PV(C94,D93,0,-F93)*Exchange_Rate</f>
        <v>26.788171416610982</v>
      </c>
      <c r="F97" s="124">
        <f>PV(C93,D93,0,-F93)*Exchange_Rate</f>
        <v>38.05908511708494</v>
      </c>
      <c r="H97" s="124">
        <f>PV(C93,D93,0,-I93)*Exchange_Rate</f>
        <v>38.05908511708494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679646.06129328406</v>
      </c>
      <c r="E98" s="222"/>
      <c r="F98" s="222"/>
      <c r="H98" s="124">
        <f>C98*Data!$C$4/Common_Shares</f>
        <v>1.9069420016483218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-34701495.907055095</v>
      </c>
      <c r="E99" s="223"/>
      <c r="F99" s="148">
        <f>IF(H99&gt;0,H99*0.85,H99*1.15)</f>
        <v>-111.96975221214493</v>
      </c>
      <c r="H99" s="148">
        <f>C99*Data!$C$4/Common_Shares</f>
        <v>-97.365001923604297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-21816645.893536471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1630974.6050783957</v>
      </c>
      <c r="E103" s="110">
        <f>PV(C94,D93,0,-F94)*Exchange_Rate</f>
        <v>3.2209694378628289</v>
      </c>
      <c r="F103" s="124">
        <f>PV(C93,D93,0,-F94)*Exchange_Rate</f>
        <v>4.5761671481292678</v>
      </c>
      <c r="H103" s="124">
        <f>PV(C93,D93,0,-I94)*Exchange_Rate</f>
        <v>4.5761671481292678</v>
      </c>
      <c r="I103" s="110">
        <f>H103*1.25</f>
        <v>5.720208935161585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815487.30253919784</v>
      </c>
      <c r="E106" s="110">
        <f>(E100+E103)/2</f>
        <v>1.6104847189314144</v>
      </c>
      <c r="F106" s="124">
        <f>(F100+F103)/2</f>
        <v>2.2880835740646339</v>
      </c>
      <c r="H106" s="124">
        <f>(H100+H103)/2</f>
        <v>2.2880835740646339</v>
      </c>
      <c r="I106" s="110">
        <f>H106*1.25</f>
        <v>2.8601044675807925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