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9DACBD-45F3-428D-BD8A-01D651E8260B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74" i="3" l="1"/>
  <c r="H80" i="3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H46" i="2" l="1"/>
  <c r="I7" i="2"/>
  <c r="J46" i="2"/>
  <c r="J7" i="2"/>
  <c r="K21" i="2"/>
  <c r="K55" i="2" s="1"/>
  <c r="K46" i="2"/>
  <c r="K19" i="2"/>
  <c r="I43" i="2"/>
  <c r="I46" i="2"/>
  <c r="G27" i="2"/>
  <c r="G39" i="2" s="1"/>
  <c r="G40" i="2" s="1"/>
  <c r="M44" i="2"/>
  <c r="M19" i="2"/>
  <c r="M21" i="2"/>
  <c r="M55" i="2" s="1"/>
  <c r="M46" i="2"/>
  <c r="L11" i="2"/>
  <c r="L21" i="2"/>
  <c r="L55" i="2" s="1"/>
  <c r="L46" i="2"/>
  <c r="L19" i="2"/>
  <c r="C46" i="2"/>
  <c r="G46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H21" i="2" s="1"/>
  <c r="H55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I19" i="2" s="1"/>
  <c r="D7" i="2"/>
  <c r="K9" i="2"/>
  <c r="J9" i="2"/>
  <c r="J19" i="2" s="1"/>
  <c r="F102" i="3"/>
  <c r="H102" i="3"/>
  <c r="C93" i="3"/>
  <c r="M20" i="2"/>
  <c r="J13" i="2" l="1"/>
  <c r="J21" i="2" s="1"/>
  <c r="J55" i="2" s="1"/>
  <c r="I13" i="2"/>
  <c r="I21" i="2" s="1"/>
  <c r="I55" i="2" s="1"/>
  <c r="H19" i="2"/>
  <c r="M54" i="2"/>
  <c r="D19" i="2"/>
  <c r="G19" i="2"/>
  <c r="F19" i="2"/>
  <c r="E19" i="2"/>
  <c r="C19" i="2"/>
  <c r="G54" i="2"/>
  <c r="E54" i="2"/>
  <c r="F54" i="2"/>
  <c r="H54" i="2"/>
  <c r="D54" i="2"/>
  <c r="E40" i="2"/>
  <c r="F40" i="2"/>
  <c r="D40" i="2"/>
  <c r="J54" i="2" l="1"/>
  <c r="I54" i="2"/>
  <c r="E88" i="3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<sst xmlns="http://schemas.openxmlformats.org/spreadsheetml/2006/main" count="350" uniqueCount="249">
  <si>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</si>
  <si>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</si>
  <si>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</si>
  <si>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</si>
  <si>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</si>
  <si>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</si>
  <si>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</si>
  <si>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</si>
  <si>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</si>
  <si>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</si>
  <si>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</si>
  <si>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</si>
  <si>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</si>
  <si>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</si>
  <si>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</si>
  <si>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</si>
  <si>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</si>
  <si>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</si>
  <si>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</si>
  <si>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</si>
  <si>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</si>
  <si>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</si>
  <si>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</si>
  <si>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</si>
  <si>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</si>
  <si>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</si>
  <si>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</si>
  <si>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</si>
  <si>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</si>
  <si>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</si>
  <si>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</si>
  <si>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</si>
  <si>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</si>
  <si>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</si>
  <si>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</si>
  <si>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</si>
  <si>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</si>
  <si>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</si>
  <si>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</si>
  <si>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</si>
  <si>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</si>
  <si>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</si>
  <si>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</si>
  <si>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</si>
  <si>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</si>
  <si>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</si>
  <si>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</si>
  <si>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</si>
  <si>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</si>
  <si>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</si>
  <si>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</si>
  <si>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</si>
  <si>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</si>
  <si>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</si>
  <si>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</si>
  <si>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</si>
  <si>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</si>
  <si>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</si>
  <si>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</si>
  <si>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</si>
  <si>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</si>
  <si>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</si>
  <si>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</si>
  <si>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</si>
  <si>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</si>
  <si>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</si>
  <si>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</si>
  <si>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</si>
  <si>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</si>
  <si>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</si>
  <si>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</si>
  <si>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</si>
  <si>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</si>
  <si>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</si>
  <si>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</si>
  <si>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</si>
  <si>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</si>
  <si>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</si>
  <si>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</si>
  <si>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</si>
  <si>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</si>
  <si>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</si>
  <si>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</si>
  <si>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</si>
  <si>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</si>
  <si>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</si>
  <si>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</si>
  <si>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</si>
  <si>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</si>
  <si>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</si>
  <si>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</si>
  <si>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</si>
  <si>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</si>
  <si>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</si>
  <si>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</si>
  <si>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</si>
  <si>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</si>
  <si>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</si>
  <si>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</si>
  <si>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</si>
  <si>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</si>
  <si>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</si>
  <si>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</si>
  <si>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</si>
  <si>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</si>
  <si>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</si>
  <si>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</si>
  <si>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</si>
  <si>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</si>
  <si>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</si>
  <si>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</si>
  <si>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</si>
  <si>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</si>
  <si>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</si>
  <si>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</si>
  <si>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</si>
  <si>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</si>
  <si>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</si>
  <si>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</si>
  <si>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</si>
  <si>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</si>
  <si>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</si>
  <si>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</si>
  <si>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</si>
  <si>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</si>
  <si>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</si>
  <si>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</si>
  <si>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</si>
  <si>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</si>
  <si>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</si>
  <si>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</si>
  <si>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</si>
  <si>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</si>
  <si>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</si>
  <si>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</si>
  <si>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</si>
  <si>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</si>
  <si>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</si>
  <si>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</si>
  <si>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</si>
  <si>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</si>
  <si>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</si>
  <si>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</si>
  <si>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</si>
  <si>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</si>
  <si>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</si>
  <si>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</si>
  <si>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</si>
  <si>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</si>
  <si>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</si>
  <si>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</si>
  <si>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</si>
  <si>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</si>
  <si>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</si>
  <si>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</si>
  <si>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</si>
  <si>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</si>
  <si>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</si>
  <si>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</si>
  <si>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</si>
  <si>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</si>
  <si>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</si>
  <si>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</si>
  <si>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</si>
  <si>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</si>
  <si>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</si>
  <si>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</si>
  <si>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</si>
  <si>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</si>
  <si>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</si>
  <si>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</si>
  <si>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</si>
  <si>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</si>
  <si>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</si>
  <si>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</si>
  <si>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</si>
  <si>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</si>
  <si>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</si>
  <si>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</si>
  <si>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</si>
  <si>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</si>
  <si>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</si>
  <si>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</si>
  <si>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</si>
  <si>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</si>
  <si>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</si>
  <si>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</si>
  <si>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</si>
  <si>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</si>
  <si>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</si>
  <si>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</si>
  <si>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</si>
  <si>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</si>
  <si>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</si>
  <si>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</si>
  <si>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</si>
  <si>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</si>
  <si>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</si>
  <si>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</si>
  <si>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</si>
  <si>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</si>
  <si>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</si>
  <si>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</si>
  <si>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</si>
  <si>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</si>
  <si>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</si>
  <si>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</si>
  <si>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</si>
  <si>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</si>
  <si>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</si>
  <si>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</si>
  <si>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</si>
  <si>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</si>
  <si>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</si>
  <si>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</si>
  <si>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</si>
  <si>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</si>
  <si>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</si>
  <si>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</si>
  <si>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</si>
  <si>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</si>
  <si>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</si>
  <si>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</si>
  <si>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</si>
  <si>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</si>
  <si>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</si>
  <si>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</si>
  <si>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</si>
  <si>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</si>
  <si>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</si>
  <si>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</si>
  <si>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</si>
  <si>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</si>
  <si>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</si>
  <si>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</si>
  <si>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</si>
  <si>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</si>
  <si>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</si>
  <si>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</si>
  <si>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</si>
  <si>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</si>
  <si>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</si>
  <si>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</si>
  <si>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</si>
  <si>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</si>
  <si>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1475.HK</t>
    <phoneticPr fontId="20" type="noConversion"/>
  </si>
  <si>
    <t>NISSIN FOODS</t>
    <phoneticPr fontId="20" type="noConversion"/>
  </si>
  <si>
    <t>C0002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</si>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</sst>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1475.HK</v>
      </c>
      <c r="D3" s="246"/>
      <c r="E3" s="87"/>
      <c r="F3" s="3" t="s">
        <v>1</v>
      </c>
      <c r="G3" s="133">
        <v>4.4600000381469727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NISSIN FOODS</v>
      </c>
      <c r="D4" s="248"/>
      <c r="E4" s="87"/>
      <c r="F4" s="3" t="s">
        <v>3</v>
      </c>
      <c r="G4" s="251">
        <f>Inputs!C10</f>
        <v>1043691480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4654.8640406136701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HKD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C0002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0.66005868735054896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0.20403193785652382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7.0437342852983705E-5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0.02</v>
      </c>
      <c r="F23" s="141" t="s">
        <v>204</v>
      </c>
      <c r="G23" s="183">
        <f>G3/(Data!C36*Data!C4/Common_Shares*Exchange_Rate)</f>
        <v>1.2696962897637043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7.1063265675186185E-2</v>
      </c>
    </row>
    <row r="25" spans="1:8" ht="15.75" customHeight="1" x14ac:dyDescent="0.4">
      <c r="B25" s="138" t="s">
        <v>208</v>
      </c>
      <c r="C25" s="177">
        <f>Fin_Analysis!I82</f>
        <v>7.7741956185885708E-4</v>
      </c>
      <c r="F25" s="141" t="s">
        <v>188</v>
      </c>
      <c r="G25" s="177">
        <f>Fin_Analysis!I88</f>
        <v>0.49914468998201406</v>
      </c>
    </row>
    <row r="26" spans="1:8" ht="15.75" customHeight="1" x14ac:dyDescent="0.4">
      <c r="B26" s="139" t="s">
        <v>187</v>
      </c>
      <c r="C26" s="177">
        <f>Fin_Analysis!I83</f>
        <v>0.11506151788821542</v>
      </c>
      <c r="F26" s="142" t="s">
        <v>210</v>
      </c>
      <c r="G26" s="184">
        <f>Fin_Analysis!H88*Exchange_Rate/G3</f>
        <v>3.5470851714550312E-2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3.58198680957836</v>
      </c>
      <c r="D29" s="130">
        <f>IF(Fin_Analysis!C108="Profit",Fin_Analysis!I100,IF(Fin_Analysis!C108="Dividend",Fin_Analysis!I103,Fin_Analysis!I106))</f>
        <v>6.8091097557065616</v>
      </c>
      <c r="E29" s="87"/>
      <c r="F29" s="132">
        <f>IF(Fin_Analysis!C108="Profit",Fin_Analysis!F100,IF(Fin_Analysis!C108="Dividend",Fin_Analysis!F103,Fin_Analysis!F106))</f>
        <v>4.7118793647285235</v>
      </c>
      <c r="G29" s="242">
        <f>IF(Fin_Analysis!C108="Profit",Fin_Analysis!H100,IF(Fin_Analysis!C108="Dividend",Fin_Analysis!H103,Fin_Analysis!H106))</f>
        <v>5.4472878045652493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v>0.15820000000000001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0.15820000000000001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1043691480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3833194</v>
      </c>
      <c r="D19" s="152">
        <v>4067732</v>
      </c>
      <c r="E19" s="152">
        <v>3866335</v>
      </c>
      <c r="F19" s="152">
        <v>3518847</v>
      </c>
      <c r="G19" s="152">
        <v>3087781</v>
      </c>
      <c r="H19" s="152">
        <v>2998828</v>
      </c>
      <c r="I19" s="152">
        <v>2902271</v>
      </c>
      <c r="J19" s="152">
        <v>2629905</v>
      </c>
      <c r="K19" s="152"/>
      <c r="L19" s="152"/>
      <c r="M19" s="152"/>
    </row>
    <row r="20" spans="2:13" ht="13.9" x14ac:dyDescent="0.4">
      <c r="B20" s="97" t="s">
        <v>109</v>
      </c>
      <c r="C20" s="153">
        <v>2530133</v>
      </c>
      <c r="D20" s="153">
        <v>2764937</v>
      </c>
      <c r="E20" s="153">
        <v>2639016</v>
      </c>
      <c r="F20" s="153">
        <v>2360170</v>
      </c>
      <c r="G20" s="153">
        <v>2074351</v>
      </c>
      <c r="H20" s="153">
        <v>2065429</v>
      </c>
      <c r="I20" s="153">
        <v>1867706</v>
      </c>
      <c r="J20" s="153">
        <v>1588722</v>
      </c>
      <c r="K20" s="153"/>
      <c r="L20" s="153"/>
      <c r="M20" s="153"/>
    </row>
    <row r="21" spans="2:13" ht="13.9" x14ac:dyDescent="0.4">
      <c r="B21" s="97" t="s">
        <v>107</v>
      </c>
      <c r="C21" s="153">
        <v>829721</v>
      </c>
      <c r="D21" s="153">
        <v>842779</v>
      </c>
      <c r="E21" s="153">
        <v>769862</v>
      </c>
      <c r="F21" s="153">
        <v>714686</v>
      </c>
      <c r="G21" s="153">
        <v>676867</v>
      </c>
      <c r="H21" s="153">
        <v>648594</v>
      </c>
      <c r="I21" s="153">
        <v>767003</v>
      </c>
      <c r="J21" s="153">
        <v>750812</v>
      </c>
      <c r="K21" s="153"/>
      <c r="L21" s="153"/>
      <c r="M21" s="153"/>
    </row>
    <row r="22" spans="2:13" ht="13.9" x14ac:dyDescent="0.4">
      <c r="B22" s="97" t="s">
        <v>108</v>
      </c>
      <c r="C22" s="153">
        <v>47627</v>
      </c>
      <c r="D22" s="153">
        <v>45913</v>
      </c>
      <c r="E22" s="153">
        <v>50573</v>
      </c>
      <c r="F22" s="153">
        <v>36563</v>
      </c>
      <c r="G22" s="153">
        <v>23174</v>
      </c>
      <c r="H22" s="153">
        <v>17650</v>
      </c>
      <c r="I22" s="153">
        <v>20113</v>
      </c>
      <c r="J22" s="153">
        <v>21618</v>
      </c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329600</v>
      </c>
      <c r="D24" s="153">
        <v>634000</v>
      </c>
      <c r="E24" s="153">
        <v>315900</v>
      </c>
      <c r="F24" s="153">
        <v>259700</v>
      </c>
      <c r="G24" s="153">
        <v>283600</v>
      </c>
      <c r="H24" s="153">
        <v>215300</v>
      </c>
      <c r="I24" s="153">
        <v>259700</v>
      </c>
      <c r="J24" s="153">
        <v>467600</v>
      </c>
      <c r="K24" s="153"/>
      <c r="L24" s="153"/>
      <c r="M24" s="153"/>
    </row>
    <row r="25" spans="2:13" ht="13.9" x14ac:dyDescent="0.4">
      <c r="B25" s="97" t="s">
        <v>113</v>
      </c>
      <c r="C25" s="153">
        <v>-212109</v>
      </c>
      <c r="D25" s="153">
        <v>-63909</v>
      </c>
      <c r="E25" s="153">
        <v>-85212</v>
      </c>
      <c r="F25" s="153">
        <v>-137953</v>
      </c>
      <c r="G25" s="153">
        <v>-184857</v>
      </c>
      <c r="H25" s="153">
        <v>-59025</v>
      </c>
      <c r="I25" s="153">
        <v>-13114</v>
      </c>
      <c r="J25" s="153">
        <v>-55207</v>
      </c>
      <c r="K25" s="153"/>
      <c r="L25" s="153"/>
      <c r="M25" s="153"/>
    </row>
    <row r="26" spans="2:13" ht="13.9" x14ac:dyDescent="0.4">
      <c r="B26" s="97" t="s">
        <v>129</v>
      </c>
      <c r="C26" s="153">
        <v>270</v>
      </c>
      <c r="D26" s="153">
        <v>259</v>
      </c>
      <c r="E26" s="153">
        <v>365</v>
      </c>
      <c r="F26" s="153">
        <v>116</v>
      </c>
      <c r="G26" s="153">
        <v>64</v>
      </c>
      <c r="H26" s="153">
        <v>0</v>
      </c>
      <c r="I26" s="153">
        <v>0</v>
      </c>
      <c r="J26" s="153">
        <v>0</v>
      </c>
      <c r="K26" s="153"/>
      <c r="L26" s="153"/>
      <c r="M26" s="153"/>
    </row>
    <row r="27" spans="2:13" ht="13.9" x14ac:dyDescent="0.4">
      <c r="B27" s="99" t="s">
        <v>114</v>
      </c>
      <c r="C27" s="153">
        <v>2980</v>
      </c>
      <c r="D27" s="153">
        <v>30135</v>
      </c>
      <c r="E27" s="153">
        <v>35414</v>
      </c>
      <c r="F27" s="153">
        <v>30652</v>
      </c>
      <c r="G27" s="153">
        <v>27954</v>
      </c>
      <c r="H27" s="153">
        <v>25134</v>
      </c>
      <c r="I27" s="153">
        <v>25097</v>
      </c>
      <c r="J27" s="153">
        <v>16390</v>
      </c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2504156</v>
      </c>
      <c r="E28" s="153">
        <v>3108899</v>
      </c>
      <c r="F28" s="153">
        <v>3296593</v>
      </c>
      <c r="G28" s="153">
        <v>2995218</v>
      </c>
      <c r="H28" s="153">
        <v>2922746</v>
      </c>
      <c r="I28" s="153">
        <v>2928529</v>
      </c>
      <c r="J28" s="153">
        <v>2035257</v>
      </c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372854</v>
      </c>
      <c r="E29" s="153">
        <v>475382</v>
      </c>
      <c r="F29" s="153">
        <v>508545</v>
      </c>
      <c r="G29" s="153">
        <v>421056</v>
      </c>
      <c r="H29" s="153">
        <v>449932</v>
      </c>
      <c r="I29" s="153">
        <v>420626</v>
      </c>
      <c r="J29" s="153">
        <v>296371</v>
      </c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415015</v>
      </c>
      <c r="E30" s="153">
        <v>464999</v>
      </c>
      <c r="F30" s="153">
        <v>363144</v>
      </c>
      <c r="G30" s="153">
        <v>326593</v>
      </c>
      <c r="H30" s="153">
        <v>294086</v>
      </c>
      <c r="I30" s="153">
        <v>290728</v>
      </c>
      <c r="J30" s="153">
        <v>215131</v>
      </c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896185</v>
      </c>
      <c r="E31" s="153">
        <v>1060434</v>
      </c>
      <c r="F31" s="153">
        <v>1065331</v>
      </c>
      <c r="G31" s="153">
        <v>859227</v>
      </c>
      <c r="H31" s="153">
        <v>796096</v>
      </c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112845</v>
      </c>
      <c r="E32" s="153">
        <v>82874</v>
      </c>
      <c r="F32" s="153">
        <v>75361</v>
      </c>
      <c r="G32" s="153">
        <v>62385</v>
      </c>
      <c r="H32" s="153">
        <v>53103</v>
      </c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8558</v>
      </c>
      <c r="E33" s="153">
        <v>5576</v>
      </c>
      <c r="F33" s="153">
        <v>7278</v>
      </c>
      <c r="G33" s="153">
        <v>1660</v>
      </c>
      <c r="H33" s="153">
        <v>0</v>
      </c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1113</v>
      </c>
      <c r="E34" s="153">
        <v>5636</v>
      </c>
      <c r="F34" s="153">
        <v>9396</v>
      </c>
      <c r="G34" s="153">
        <v>131</v>
      </c>
      <c r="H34" s="153">
        <v>0</v>
      </c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3674703</v>
      </c>
      <c r="E35" s="153">
        <v>4116261</v>
      </c>
      <c r="F35" s="153">
        <v>4043183</v>
      </c>
      <c r="G35" s="153">
        <v>3712318</v>
      </c>
      <c r="H35" s="153">
        <v>3595173</v>
      </c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43262</v>
      </c>
      <c r="E36" s="153">
        <v>165622</v>
      </c>
      <c r="F36" s="153">
        <v>143504</v>
      </c>
      <c r="G36" s="153">
        <v>122753</v>
      </c>
      <c r="H36" s="153">
        <v>114637</v>
      </c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1696980</v>
      </c>
      <c r="E37" s="153">
        <v>2130407</v>
      </c>
      <c r="F37" s="153">
        <v>2344902</v>
      </c>
      <c r="G37" s="153">
        <v>2164713</v>
      </c>
      <c r="H37" s="153">
        <v>2079261</v>
      </c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1322113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422018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221617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63587</v>
      </c>
      <c r="D46" s="60">
        <v>0.1</v>
      </c>
      <c r="E46" s="113"/>
    </row>
    <row r="47" spans="2:13" ht="13.9" x14ac:dyDescent="0.4">
      <c r="B47" s="3" t="s">
        <v>47</v>
      </c>
      <c r="C47" s="59">
        <v>370793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22411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>
        <v>39731</v>
      </c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85171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1863998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23958</v>
      </c>
      <c r="D62" s="60">
        <v>0.05</v>
      </c>
      <c r="E62" s="113"/>
    </row>
    <row r="63" spans="2:5" ht="13.9" x14ac:dyDescent="0.4">
      <c r="B63" s="3" t="s">
        <v>75</v>
      </c>
      <c r="C63" s="59">
        <v>71331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62618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5523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803015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2115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100207</v>
      </c>
    </row>
    <row r="76" spans="2:3" ht="14.25" thickTop="1" x14ac:dyDescent="0.4">
      <c r="B76" s="73" t="s">
        <v>242</v>
      </c>
      <c r="C76" s="59">
        <v>3620511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0" sqref="C4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>
        <f>H19</f>
        <v>251293</v>
      </c>
      <c r="G3" s="85">
        <f>C19</f>
        <v>469096.66666666669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>
        <f>(G3/F3)^(1/H3)-1</f>
        <v>0.10963545790562135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3833194</v>
      </c>
      <c r="D6" s="209">
        <f>IF(Inputs!D19="","",Inputs!D19)</f>
        <v>4067732</v>
      </c>
      <c r="E6" s="209">
        <f>IF(Inputs!E19="","",Inputs!E19)</f>
        <v>3866335</v>
      </c>
      <c r="F6" s="209">
        <f>IF(Inputs!F19="","",Inputs!F19)</f>
        <v>3518847</v>
      </c>
      <c r="G6" s="209">
        <f>IF(Inputs!G19="","",Inputs!G19)</f>
        <v>3087781</v>
      </c>
      <c r="H6" s="209">
        <f>IF(Inputs!H19="","",Inputs!H19)</f>
        <v>2998828</v>
      </c>
      <c r="I6" s="209">
        <f>IF(Inputs!I19="","",Inputs!I19)</f>
        <v>2902271</v>
      </c>
      <c r="J6" s="209">
        <f>IF(Inputs!J19="","",Inputs!J19)</f>
        <v>2629905</v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2530133</v>
      </c>
      <c r="D8" s="208">
        <f>IF(Inputs!D20="","",Inputs!D20)</f>
        <v>2764937</v>
      </c>
      <c r="E8" s="208">
        <f>IF(Inputs!E20="","",Inputs!E20)</f>
        <v>2639016</v>
      </c>
      <c r="F8" s="208">
        <f>IF(Inputs!F20="","",Inputs!F20)</f>
        <v>2360170</v>
      </c>
      <c r="G8" s="208">
        <f>IF(Inputs!G20="","",Inputs!G20)</f>
        <v>2074351</v>
      </c>
      <c r="H8" s="208">
        <f>IF(Inputs!H20="","",Inputs!H20)</f>
        <v>2065429</v>
      </c>
      <c r="I8" s="208">
        <f>IF(Inputs!I20="","",Inputs!I20)</f>
        <v>1867706</v>
      </c>
      <c r="J8" s="208">
        <f>IF(Inputs!J20="","",Inputs!J20)</f>
        <v>1588722</v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1303061</v>
      </c>
      <c r="D9" s="154">
        <f t="shared" si="2"/>
        <v>1302795</v>
      </c>
      <c r="E9" s="154">
        <f t="shared" si="2"/>
        <v>1227319</v>
      </c>
      <c r="F9" s="154">
        <f t="shared" si="2"/>
        <v>1158677</v>
      </c>
      <c r="G9" s="154">
        <f t="shared" si="2"/>
        <v>1013430</v>
      </c>
      <c r="H9" s="154">
        <f t="shared" si="2"/>
        <v>933399</v>
      </c>
      <c r="I9" s="154">
        <f t="shared" si="2"/>
        <v>1034565</v>
      </c>
      <c r="J9" s="154">
        <f t="shared" si="2"/>
        <v>1041183</v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829721</v>
      </c>
      <c r="D10" s="208">
        <f>IF(Inputs!D21="","",Inputs!D21)</f>
        <v>842779</v>
      </c>
      <c r="E10" s="208">
        <f>IF(Inputs!E21="","",Inputs!E21)</f>
        <v>769862</v>
      </c>
      <c r="F10" s="208">
        <f>IF(Inputs!F21="","",Inputs!F21)</f>
        <v>714686</v>
      </c>
      <c r="G10" s="208">
        <f>IF(Inputs!G21="","",Inputs!G21)</f>
        <v>676867</v>
      </c>
      <c r="H10" s="208">
        <f>IF(Inputs!H21="","",Inputs!H21)</f>
        <v>648594</v>
      </c>
      <c r="I10" s="208">
        <f>IF(Inputs!I21="","",Inputs!I21)</f>
        <v>767003</v>
      </c>
      <c r="J10" s="208">
        <f>IF(Inputs!J21="","",Inputs!J21)</f>
        <v>750812</v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1.2424886400218721E-2</v>
      </c>
      <c r="D11" s="155">
        <f t="shared" ref="D11:M11" si="3">IF(OR(D6="",D12=""),"",D12/D6)</f>
        <v>1.1287125110503839E-2</v>
      </c>
      <c r="E11" s="155">
        <f t="shared" si="3"/>
        <v>1.3080346115895286E-2</v>
      </c>
      <c r="F11" s="155">
        <f t="shared" si="3"/>
        <v>1.0390619427329464E-2</v>
      </c>
      <c r="G11" s="155">
        <f t="shared" si="3"/>
        <v>7.5050659356994554E-3</v>
      </c>
      <c r="H11" s="155">
        <f t="shared" si="3"/>
        <v>5.8856326538234268E-3</v>
      </c>
      <c r="I11" s="155">
        <f t="shared" si="3"/>
        <v>6.9300902637968679E-3</v>
      </c>
      <c r="J11" s="155">
        <f t="shared" si="3"/>
        <v>8.2200687857546181E-3</v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47627</v>
      </c>
      <c r="D12" s="208">
        <f>IF(Inputs!D22="","",Inputs!D22)</f>
        <v>45913</v>
      </c>
      <c r="E12" s="208">
        <f>IF(Inputs!E22="","",Inputs!E22)</f>
        <v>50573</v>
      </c>
      <c r="F12" s="208">
        <f>IF(Inputs!F22="","",Inputs!F22)</f>
        <v>36563</v>
      </c>
      <c r="G12" s="208">
        <f>IF(Inputs!G22="","",Inputs!G22)</f>
        <v>23174</v>
      </c>
      <c r="H12" s="208">
        <f>IF(Inputs!H22="","",Inputs!H22)</f>
        <v>17650</v>
      </c>
      <c r="I12" s="208">
        <f>IF(Inputs!I22="","",Inputs!I22)</f>
        <v>20113</v>
      </c>
      <c r="J12" s="208">
        <f>IF(Inputs!J22="","",Inputs!J22)</f>
        <v>21618</v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520967</v>
      </c>
      <c r="D13" s="154">
        <f t="shared" ref="D13:M13" si="4">IF(D6="","",(D9-D10+MAX(D12,0)))</f>
        <v>505929</v>
      </c>
      <c r="E13" s="154">
        <f t="shared" si="4"/>
        <v>508030</v>
      </c>
      <c r="F13" s="154">
        <f t="shared" si="4"/>
        <v>480554</v>
      </c>
      <c r="G13" s="154">
        <f t="shared" si="4"/>
        <v>359737</v>
      </c>
      <c r="H13" s="154">
        <f t="shared" si="4"/>
        <v>302455</v>
      </c>
      <c r="I13" s="154">
        <f t="shared" si="4"/>
        <v>287675</v>
      </c>
      <c r="J13" s="154">
        <f t="shared" si="4"/>
        <v>311989</v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329600</v>
      </c>
      <c r="D15" s="208">
        <f>IF(Inputs!D24="","",Inputs!D24)</f>
        <v>634000</v>
      </c>
      <c r="E15" s="208">
        <f>IF(Inputs!E24="","",Inputs!E24)</f>
        <v>315900</v>
      </c>
      <c r="F15" s="208">
        <f>IF(Inputs!F24="","",Inputs!F24)</f>
        <v>259700</v>
      </c>
      <c r="G15" s="208">
        <f>IF(Inputs!G24="","",Inputs!G24)</f>
        <v>283600</v>
      </c>
      <c r="H15" s="208">
        <f>IF(Inputs!H24="","",Inputs!H24)</f>
        <v>215300</v>
      </c>
      <c r="I15" s="208">
        <f>IF(Inputs!I24="","",Inputs!I24)</f>
        <v>259700</v>
      </c>
      <c r="J15" s="208">
        <f>IF(Inputs!J24="","",Inputs!J24)</f>
        <v>467600</v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-212109</v>
      </c>
      <c r="D16" s="208">
        <f>IF(Inputs!D25="","",Inputs!D25)</f>
        <v>-63909</v>
      </c>
      <c r="E16" s="208">
        <f>IF(Inputs!E25="","",Inputs!E25)</f>
        <v>-85212</v>
      </c>
      <c r="F16" s="208">
        <f>IF(Inputs!F25="","",Inputs!F25)</f>
        <v>-137953</v>
      </c>
      <c r="G16" s="208">
        <f>IF(Inputs!G25="","",Inputs!G25)</f>
        <v>-184857</v>
      </c>
      <c r="H16" s="208">
        <f>IF(Inputs!H25="","",Inputs!H25)</f>
        <v>-59025</v>
      </c>
      <c r="I16" s="208">
        <f>IF(Inputs!I25="","",Inputs!I25)</f>
        <v>-13114</v>
      </c>
      <c r="J16" s="208">
        <f>IF(Inputs!J25="","",Inputs!J25)</f>
        <v>-55207</v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270</v>
      </c>
      <c r="D17" s="208">
        <f>IF(Inputs!D26="","",Inputs!D26)</f>
        <v>259</v>
      </c>
      <c r="E17" s="208">
        <f>IF(Inputs!E26="","",Inputs!E26)</f>
        <v>365</v>
      </c>
      <c r="F17" s="208">
        <f>IF(Inputs!F26="","",Inputs!F26)</f>
        <v>116</v>
      </c>
      <c r="G17" s="208">
        <f>IF(Inputs!G26="","",Inputs!G26)</f>
        <v>64</v>
      </c>
      <c r="H17" s="208">
        <f>IF(Inputs!H26="","",Inputs!H26)</f>
        <v>0</v>
      </c>
      <c r="I17" s="208">
        <f>IF(Inputs!I26="","",Inputs!I26)</f>
        <v>0</v>
      </c>
      <c r="J17" s="208">
        <f>IF(Inputs!J26="","",Inputs!J26)</f>
        <v>0</v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2980</v>
      </c>
      <c r="D18" s="208">
        <f>IF(Inputs!D27="","",Inputs!D27)</f>
        <v>30135</v>
      </c>
      <c r="E18" s="208">
        <f>IF(Inputs!E27="","",Inputs!E27)</f>
        <v>35414</v>
      </c>
      <c r="F18" s="208">
        <f>IF(Inputs!F27="","",Inputs!F27)</f>
        <v>30652</v>
      </c>
      <c r="G18" s="208">
        <f>IF(Inputs!G27="","",Inputs!G27)</f>
        <v>27954</v>
      </c>
      <c r="H18" s="208">
        <f>IF(Inputs!H27="","",Inputs!H27)</f>
        <v>25134</v>
      </c>
      <c r="I18" s="208">
        <f>IF(Inputs!I27="","",Inputs!I27)</f>
        <v>25097</v>
      </c>
      <c r="J18" s="208">
        <f>IF(Inputs!J27="","",Inputs!J27)</f>
        <v>16390</v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469096.66666666669</v>
      </c>
      <c r="D19" s="237">
        <f>IF(D6="","",D9-D10-MAX(D17,0)-MAX(D18,0)/(1-Fin_Analysis!$I$84))</f>
        <v>419577</v>
      </c>
      <c r="E19" s="237">
        <f>IF(E6="","",E9-E10-MAX(E17,0)-MAX(E18,0)/(1-Fin_Analysis!$I$84))</f>
        <v>409873.33333333331</v>
      </c>
      <c r="F19" s="237">
        <f>IF(F6="","",F9-F10-MAX(F17,0)-MAX(F18,0)/(1-Fin_Analysis!$I$84))</f>
        <v>403005.66666666669</v>
      </c>
      <c r="G19" s="237">
        <f>IF(G6="","",G9-G10-MAX(G17,0)-MAX(G18,0)/(1-Fin_Analysis!$I$84))</f>
        <v>299227</v>
      </c>
      <c r="H19" s="237">
        <f>IF(H6="","",H9-H10-MAX(H17,0)-MAX(H18,0)/(1-Fin_Analysis!$I$84))</f>
        <v>251293</v>
      </c>
      <c r="I19" s="237">
        <f>IF(I6="","",I9-I10-MAX(I17,0)-MAX(I18,0)/(1-Fin_Analysis!$I$84))</f>
        <v>234099.33333333334</v>
      </c>
      <c r="J19" s="237">
        <f>IF(J6="","",J9-J10-MAX(J17,0)-MAX(J18,0)/(1-Fin_Analysis!$I$84))</f>
        <v>268517.66666666669</v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0.11802283410832025</v>
      </c>
      <c r="D20" s="238">
        <f t="shared" ref="D20:M20" si="5">IF(E19="","",IF(ABS(D19+E19)=ABS(D19)+ABS(E19),IF(D19&lt;0,-1,1)*(D19-E19)/E19,"Turn"))</f>
        <v>2.3674793838746978E-2</v>
      </c>
      <c r="E20" s="238">
        <f t="shared" si="5"/>
        <v>1.704111687428703E-2</v>
      </c>
      <c r="F20" s="238">
        <f t="shared" si="5"/>
        <v>0.34682253495395365</v>
      </c>
      <c r="G20" s="238">
        <f t="shared" si="5"/>
        <v>0.19074944387627193</v>
      </c>
      <c r="H20" s="238">
        <f t="shared" si="5"/>
        <v>7.3446030032835022E-2</v>
      </c>
      <c r="I20" s="238">
        <f t="shared" si="5"/>
        <v>-0.12817902732656947</v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187123.66666666666</v>
      </c>
      <c r="D21" s="77">
        <f>IF(D6="","",D13-MAX(D14,0)-MAX(D15,0)-MAX(D16,0)-MAX(D17,0)-MAX(D18,0)/(1-Fin_Analysis!$I$84))</f>
        <v>-168510</v>
      </c>
      <c r="E21" s="77">
        <f>IF(E6="","",E13-MAX(E14,0)-MAX(E15,0)-MAX(E16,0)-MAX(E17,0)-MAX(E18,0)/(1-Fin_Analysis!$I$84))</f>
        <v>144546.33333333334</v>
      </c>
      <c r="F21" s="77">
        <f>IF(F6="","",F13-MAX(F14,0)-MAX(F15,0)-MAX(F16,0)-MAX(F17,0)-MAX(F18,0)/(1-Fin_Analysis!$I$84))</f>
        <v>179868.66666666666</v>
      </c>
      <c r="G21" s="77">
        <f>IF(G6="","",G13-MAX(G14,0)-MAX(G15,0)-MAX(G16,0)-MAX(G17,0)-MAX(G18,0)/(1-Fin_Analysis!$I$84))</f>
        <v>38801</v>
      </c>
      <c r="H21" s="77">
        <f>IF(H6="","",H13-MAX(H14,0)-MAX(H15,0)-MAX(H16,0)-MAX(H17,0)-MAX(H18,0)/(1-Fin_Analysis!$I$84))</f>
        <v>53643</v>
      </c>
      <c r="I21" s="77">
        <f>IF(I6="","",I13-MAX(I14,0)-MAX(I15,0)-MAX(I16,0)-MAX(I17,0)-MAX(I18,0)/(1-Fin_Analysis!$I$84))</f>
        <v>-5487.6666666666642</v>
      </c>
      <c r="J21" s="77">
        <f>IF(J6="","",J13-MAX(J14,0)-MAX(J15,0)-MAX(J16,0)-MAX(J17,0)-MAX(J18,0)/(1-Fin_Analysis!$I$84))</f>
        <v>-177464.33333333334</v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 t="str">
        <f>IF(D21="","",IF(ABS(C21+D21)=ABS(C21)+ABS(D21),IF(C21&lt;0,-1,1)*(C21-D21)/D21,"Turn"))</f>
        <v>Turn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-0.19637846873459514</v>
      </c>
      <c r="F22" s="156">
        <f t="shared" si="6"/>
        <v>3.6356709019526985</v>
      </c>
      <c r="G22" s="156">
        <f t="shared" si="6"/>
        <v>-0.27668102082284735</v>
      </c>
      <c r="H22" s="156" t="str">
        <f t="shared" si="6"/>
        <v>Turn</v>
      </c>
      <c r="I22" s="156">
        <f t="shared" si="6"/>
        <v>0.96907735451067167</v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3.6612482958076217E-2</v>
      </c>
      <c r="D23" s="157">
        <f t="shared" si="7"/>
        <v>-3.1069524737617916E-2</v>
      </c>
      <c r="E23" s="157">
        <f t="shared" si="7"/>
        <v>2.8039409414859291E-2</v>
      </c>
      <c r="F23" s="157">
        <f t="shared" si="7"/>
        <v>3.8336847268437647E-2</v>
      </c>
      <c r="G23" s="157">
        <f t="shared" si="7"/>
        <v>9.424486386826008E-3</v>
      </c>
      <c r="H23" s="157">
        <f t="shared" si="7"/>
        <v>1.3415991180554537E-2</v>
      </c>
      <c r="I23" s="157">
        <f t="shared" si="7"/>
        <v>-1.4181136082743473E-3</v>
      </c>
      <c r="J23" s="157">
        <f t="shared" si="7"/>
        <v>-5.060952772058306E-2</v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140342.75</v>
      </c>
      <c r="D24" s="77">
        <f>IF(D6="","",D21*(1-Fin_Analysis!$I$84))</f>
        <v>-126382.5</v>
      </c>
      <c r="E24" s="77">
        <f>IF(E6="","",E21*(1-Fin_Analysis!$I$84))</f>
        <v>108409.75</v>
      </c>
      <c r="F24" s="77">
        <f>IF(F6="","",F21*(1-Fin_Analysis!$I$84))</f>
        <v>134901.5</v>
      </c>
      <c r="G24" s="77">
        <f>IF(G6="","",G21*(1-Fin_Analysis!$I$84))</f>
        <v>29100.75</v>
      </c>
      <c r="H24" s="77">
        <f>IF(H6="","",H21*(1-Fin_Analysis!$I$84))</f>
        <v>40232.25</v>
      </c>
      <c r="I24" s="77">
        <f>IF(I6="","",I21*(1-Fin_Analysis!$I$84))</f>
        <v>-4115.7499999999982</v>
      </c>
      <c r="J24" s="77">
        <f>IF(J6="","",J21*(1-Fin_Analysis!$I$84))</f>
        <v>-133098.25</v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str">
        <f>IF(D24="","",IF(ABS(C24+D24)=ABS(C24)+ABS(D24),IF(C24&lt;0,-1,1)*(C24-D24)/D24,"Turn"))</f>
        <v>Turn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-0.19637846873459525</v>
      </c>
      <c r="F25" s="159">
        <f t="shared" si="8"/>
        <v>3.6356709019526989</v>
      </c>
      <c r="G25" s="159">
        <f t="shared" si="8"/>
        <v>-0.27668102082284735</v>
      </c>
      <c r="H25" s="159" t="str">
        <f t="shared" si="8"/>
        <v>Turn</v>
      </c>
      <c r="I25" s="159">
        <f t="shared" si="8"/>
        <v>0.96907735451067167</v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18">IF(D36="","",D36+D31+D32)</f>
        <v>4683733</v>
      </c>
      <c r="E27" s="65">
        <f t="shared" si="18"/>
        <v>5259569</v>
      </c>
      <c r="F27" s="65">
        <f t="shared" si="18"/>
        <v>5183875</v>
      </c>
      <c r="G27" s="65">
        <f t="shared" si="18"/>
        <v>4633930</v>
      </c>
      <c r="H27" s="65">
        <f t="shared" si="18"/>
        <v>4444372</v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8">
        <f>IF(Inputs!D28="","",Inputs!D28)</f>
        <v>2504156</v>
      </c>
      <c r="E28" s="208">
        <f>IF(Inputs!E28="","",Inputs!E28)</f>
        <v>3108899</v>
      </c>
      <c r="F28" s="208">
        <f>IF(Inputs!F28="","",Inputs!F28)</f>
        <v>3296593</v>
      </c>
      <c r="G28" s="208">
        <f>IF(Inputs!G28="","",Inputs!G28)</f>
        <v>2995218</v>
      </c>
      <c r="H28" s="208">
        <f>IF(Inputs!H28="","",Inputs!H28)</f>
        <v>2922746</v>
      </c>
      <c r="I28" s="208">
        <f>IF(Inputs!I28="","",Inputs!I28)</f>
        <v>2928529</v>
      </c>
      <c r="J28" s="208">
        <f>IF(Inputs!J28="","",Inputs!J28)</f>
        <v>2035257</v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422018</v>
      </c>
      <c r="D29" s="208">
        <f>IF(Inputs!D29="","",Inputs!D29)</f>
        <v>372854</v>
      </c>
      <c r="E29" s="208">
        <f>IF(Inputs!E29="","",Inputs!E29)</f>
        <v>475382</v>
      </c>
      <c r="F29" s="208">
        <f>IF(Inputs!F29="","",Inputs!F29)</f>
        <v>508545</v>
      </c>
      <c r="G29" s="208">
        <f>IF(Inputs!G29="","",Inputs!G29)</f>
        <v>421056</v>
      </c>
      <c r="H29" s="208">
        <f>IF(Inputs!H29="","",Inputs!H29)</f>
        <v>449932</v>
      </c>
      <c r="I29" s="208">
        <f>IF(Inputs!I29="","",Inputs!I29)</f>
        <v>420626</v>
      </c>
      <c r="J29" s="208">
        <f>IF(Inputs!J29="","",Inputs!J29)</f>
        <v>296371</v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370793</v>
      </c>
      <c r="D30" s="208">
        <f>IF(Inputs!D30="","",Inputs!D30)</f>
        <v>415015</v>
      </c>
      <c r="E30" s="208">
        <f>IF(Inputs!E30="","",Inputs!E30)</f>
        <v>464999</v>
      </c>
      <c r="F30" s="208">
        <f>IF(Inputs!F30="","",Inputs!F30)</f>
        <v>363144</v>
      </c>
      <c r="G30" s="208">
        <f>IF(Inputs!G30="","",Inputs!G30)</f>
        <v>326593</v>
      </c>
      <c r="H30" s="208">
        <f>IF(Inputs!H30="","",Inputs!H30)</f>
        <v>294086</v>
      </c>
      <c r="I30" s="208">
        <f>IF(Inputs!I30="","",Inputs!I30)</f>
        <v>290728</v>
      </c>
      <c r="J30" s="208">
        <f>IF(Inputs!J30="","",Inputs!J30)</f>
        <v>215131</v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8">
        <f>IF(Inputs!D31="","",Inputs!D31)</f>
        <v>896185</v>
      </c>
      <c r="E31" s="208">
        <f>IF(Inputs!E31="","",Inputs!E31)</f>
        <v>1060434</v>
      </c>
      <c r="F31" s="208">
        <f>IF(Inputs!F31="","",Inputs!F31)</f>
        <v>1065331</v>
      </c>
      <c r="G31" s="208">
        <f>IF(Inputs!G31="","",Inputs!G31)</f>
        <v>859227</v>
      </c>
      <c r="H31" s="208">
        <f>IF(Inputs!H31="","",Inputs!H31)</f>
        <v>796096</v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100207</v>
      </c>
      <c r="D32" s="208">
        <f>IF(Inputs!D32="","",Inputs!D32)</f>
        <v>112845</v>
      </c>
      <c r="E32" s="208">
        <f>IF(Inputs!E32="","",Inputs!E32)</f>
        <v>82874</v>
      </c>
      <c r="F32" s="208">
        <f>IF(Inputs!F32="","",Inputs!F32)</f>
        <v>75361</v>
      </c>
      <c r="G32" s="208">
        <f>IF(Inputs!G32="","",Inputs!G32)</f>
        <v>62385</v>
      </c>
      <c r="H32" s="208">
        <f>IF(Inputs!H32="","",Inputs!H32)</f>
        <v>53103</v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8">
        <f>IF(Inputs!D33="","",Inputs!D33)</f>
        <v>8558</v>
      </c>
      <c r="E33" s="208">
        <f>IF(Inputs!E33="","",Inputs!E33)</f>
        <v>5576</v>
      </c>
      <c r="F33" s="208">
        <f>IF(Inputs!F33="","",Inputs!F33)</f>
        <v>7278</v>
      </c>
      <c r="G33" s="208">
        <f>IF(Inputs!G33="","",Inputs!G33)</f>
        <v>1660</v>
      </c>
      <c r="H33" s="208">
        <f>IF(Inputs!H33="","",Inputs!H33)</f>
        <v>0</v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8">
        <f>IF(Inputs!D34="","",Inputs!D34)</f>
        <v>1113</v>
      </c>
      <c r="E34" s="208">
        <f>IF(Inputs!E34="","",Inputs!E34)</f>
        <v>5636</v>
      </c>
      <c r="F34" s="208">
        <f>IF(Inputs!F34="","",Inputs!F34)</f>
        <v>9396</v>
      </c>
      <c r="G34" s="208">
        <f>IF(Inputs!G34="","",Inputs!G34)</f>
        <v>131</v>
      </c>
      <c r="H34" s="208">
        <f>IF(Inputs!H34="","",Inputs!H34)</f>
        <v>0</v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7638</v>
      </c>
      <c r="D35" s="77">
        <f t="shared" ref="D35" si="20">IF(OR(D33="",D34=""),"",D33+D34)</f>
        <v>9671</v>
      </c>
      <c r="E35" s="77">
        <f t="shared" ref="E35" si="21">IF(OR(E33="",E34=""),"",E33+E34)</f>
        <v>11212</v>
      </c>
      <c r="F35" s="77">
        <f t="shared" ref="F35" si="22">IF(OR(F33="",F34=""),"",F33+F34)</f>
        <v>16674</v>
      </c>
      <c r="G35" s="77">
        <f t="shared" ref="G35" si="23">IF(OR(G33="",G34=""),"",G33+G34)</f>
        <v>1791</v>
      </c>
      <c r="H35" s="77">
        <f t="shared" ref="H35" si="24">IF(OR(H33="",H34=""),"",H33+H34)</f>
        <v>0</v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3666124</v>
      </c>
      <c r="D36" s="208">
        <f>IF(Inputs!D35="","",Inputs!D35)</f>
        <v>3674703</v>
      </c>
      <c r="E36" s="208">
        <f>IF(Inputs!E35="","",Inputs!E35)</f>
        <v>4116261</v>
      </c>
      <c r="F36" s="208">
        <f>IF(Inputs!F35="","",Inputs!F35)</f>
        <v>4043183</v>
      </c>
      <c r="G36" s="208">
        <f>IF(Inputs!G35="","",Inputs!G35)</f>
        <v>3712318</v>
      </c>
      <c r="H36" s="208">
        <f>IF(Inputs!H35="","",Inputs!H35)</f>
        <v>3595173</v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45613</v>
      </c>
      <c r="D37" s="208">
        <f>IF(Inputs!D36="","",Inputs!D36)</f>
        <v>43262</v>
      </c>
      <c r="E37" s="208">
        <f>IF(Inputs!E36="","",Inputs!E36)</f>
        <v>165622</v>
      </c>
      <c r="F37" s="208">
        <f>IF(Inputs!F36="","",Inputs!F36)</f>
        <v>143504</v>
      </c>
      <c r="G37" s="208">
        <f>IF(Inputs!G36="","",Inputs!G36)</f>
        <v>122753</v>
      </c>
      <c r="H37" s="208">
        <f>IF(Inputs!H36="","",Inputs!H36)</f>
        <v>114637</v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1668632</v>
      </c>
      <c r="D38" s="208">
        <f>IF(Inputs!D37="","",Inputs!D37)</f>
        <v>1696980</v>
      </c>
      <c r="E38" s="208">
        <f>IF(Inputs!E37="","",Inputs!E37)</f>
        <v>2130407</v>
      </c>
      <c r="F38" s="208">
        <f>IF(Inputs!F37="","",Inputs!F37)</f>
        <v>2344902</v>
      </c>
      <c r="G38" s="208">
        <f>IF(Inputs!G37="","",Inputs!G37)</f>
        <v>2164713</v>
      </c>
      <c r="H38" s="208">
        <f>IF(Inputs!H37="","",Inputs!H37)</f>
        <v>2079261</v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2900714</v>
      </c>
      <c r="D39" s="65">
        <f>IF(D38="","",D27-D38)</f>
        <v>2986753</v>
      </c>
      <c r="E39" s="65">
        <f t="shared" ref="E39:M39" si="30">IF(E38="","",E27-E38)</f>
        <v>3129162</v>
      </c>
      <c r="F39" s="65">
        <f t="shared" si="30"/>
        <v>2838973</v>
      </c>
      <c r="G39" s="65">
        <f t="shared" si="30"/>
        <v>2469217</v>
      </c>
      <c r="H39" s="65">
        <f t="shared" si="30"/>
        <v>2365111</v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6.4509519610229299E-2</v>
      </c>
      <c r="D40" s="160">
        <f>IF(D39="","",D21/D39)</f>
        <v>-5.6419128063150852E-2</v>
      </c>
      <c r="E40" s="160">
        <f t="shared" ref="E40:M40" si="32">IF(E39="","",E21/E39)</f>
        <v>4.6193304575900304E-2</v>
      </c>
      <c r="F40" s="160">
        <f t="shared" si="32"/>
        <v>6.3356948680620306E-2</v>
      </c>
      <c r="G40" s="160">
        <f t="shared" si="32"/>
        <v>1.5713888248784939E-2</v>
      </c>
      <c r="H40" s="160">
        <f t="shared" si="32"/>
        <v>2.2680965079440247E-2</v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0.66005868735054896</v>
      </c>
      <c r="D42" s="161">
        <f t="shared" si="33"/>
        <v>0.67972447545708514</v>
      </c>
      <c r="E42" s="161">
        <f t="shared" si="33"/>
        <v>0.68256268533378506</v>
      </c>
      <c r="F42" s="161">
        <f t="shared" si="33"/>
        <v>0.67072254065038917</v>
      </c>
      <c r="G42" s="161">
        <f t="shared" si="33"/>
        <v>0.67179343353689913</v>
      </c>
      <c r="H42" s="161">
        <f t="shared" si="33"/>
        <v>0.68874540320418509</v>
      </c>
      <c r="I42" s="161">
        <f t="shared" si="33"/>
        <v>0.64353259912668392</v>
      </c>
      <c r="J42" s="161">
        <f t="shared" si="33"/>
        <v>0.60409862713672169</v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0.20403193785652382</v>
      </c>
      <c r="D43" s="157">
        <f t="shared" ref="D43:M43" si="34">IF(D6="","",(D10-MAX(D12,0))/D6)</f>
        <v>0.19589933653446195</v>
      </c>
      <c r="E43" s="157">
        <f t="shared" si="34"/>
        <v>0.18603897489482935</v>
      </c>
      <c r="F43" s="157">
        <f t="shared" si="34"/>
        <v>0.19271170357790493</v>
      </c>
      <c r="G43" s="157">
        <f t="shared" si="34"/>
        <v>0.21170316159079935</v>
      </c>
      <c r="H43" s="157">
        <f t="shared" si="34"/>
        <v>0.21039686170730698</v>
      </c>
      <c r="I43" s="157">
        <f t="shared" si="34"/>
        <v>0.25734674673729641</v>
      </c>
      <c r="J43" s="157">
        <f t="shared" si="34"/>
        <v>0.27727009150520648</v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8.5985734090160845E-2</v>
      </c>
      <c r="D44" s="157">
        <f t="shared" ref="D44:M44" si="35">IF(D6="","",(MAX(D14,0)+MAX(D15,0))/D6)</f>
        <v>0.15586080892251505</v>
      </c>
      <c r="E44" s="157">
        <f t="shared" si="35"/>
        <v>8.1705284203257095E-2</v>
      </c>
      <c r="F44" s="157">
        <f t="shared" si="35"/>
        <v>7.3802583630376659E-2</v>
      </c>
      <c r="G44" s="157">
        <f t="shared" si="35"/>
        <v>9.1845891920443845E-2</v>
      </c>
      <c r="H44" s="157">
        <f t="shared" si="35"/>
        <v>7.1794714468452342E-2</v>
      </c>
      <c r="I44" s="157">
        <f t="shared" si="35"/>
        <v>8.9481650748672328E-2</v>
      </c>
      <c r="J44" s="157">
        <f t="shared" si="35"/>
        <v>0.17780109927925153</v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>
        <f t="shared" si="36"/>
        <v>0</v>
      </c>
      <c r="J45" s="157">
        <f t="shared" si="36"/>
        <v>0</v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7.0437342852983705E-5</v>
      </c>
      <c r="D46" s="157">
        <f t="shared" ref="D46:M46" si="37">IF(D6="","",MAX(D17,0)/D6)</f>
        <v>6.3671844654465925E-5</v>
      </c>
      <c r="E46" s="157">
        <f t="shared" si="37"/>
        <v>9.440464936432048E-5</v>
      </c>
      <c r="F46" s="157">
        <f t="shared" si="37"/>
        <v>3.2965343477565238E-5</v>
      </c>
      <c r="G46" s="157">
        <f t="shared" si="37"/>
        <v>2.0726858543400585E-5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1.0365594158118095E-3</v>
      </c>
      <c r="D47" s="157">
        <f>IF(D6="","",MAX(D18,0)/(1-Fin_Analysis!$I$84)/D6)</f>
        <v>9.8777402247739038E-3</v>
      </c>
      <c r="E47" s="157">
        <f>IF(E6="","",MAX(E18,0)/(1-Fin_Analysis!$I$84)/E6)</f>
        <v>1.2212771698951764E-2</v>
      </c>
      <c r="F47" s="157">
        <f>IF(F6="","",MAX(F18,0)/(1-Fin_Analysis!$I$84)/F6)</f>
        <v>1.1614410439934823E-2</v>
      </c>
      <c r="G47" s="157">
        <f>IF(G6="","",MAX(G18,0)/(1-Fin_Analysis!$I$84)/G6)</f>
        <v>1.2070804244212915E-2</v>
      </c>
      <c r="H47" s="157">
        <f>IF(H6="","",MAX(H18,0)/(1-Fin_Analysis!$I$84)/H6)</f>
        <v>1.1175032379316186E-2</v>
      </c>
      <c r="I47" s="157">
        <f>IF(I6="","",MAX(I18,0)/(1-Fin_Analysis!$I$84)/I6)</f>
        <v>1.1529821531713154E-2</v>
      </c>
      <c r="J47" s="157">
        <f>IF(J6="","",MAX(J18,0)/(1-Fin_Analysis!$I$84)/J6)</f>
        <v>8.3095523729310884E-3</v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4.8816643944101616E-2</v>
      </c>
      <c r="D48" s="157">
        <f t="shared" si="38"/>
        <v>-4.1426032983490554E-2</v>
      </c>
      <c r="E48" s="157">
        <f t="shared" si="38"/>
        <v>3.7385879219812394E-2</v>
      </c>
      <c r="F48" s="157">
        <f t="shared" si="38"/>
        <v>5.1115796357916854E-2</v>
      </c>
      <c r="G48" s="157">
        <f t="shared" si="38"/>
        <v>1.2565981849101345E-2</v>
      </c>
      <c r="H48" s="157">
        <f t="shared" si="38"/>
        <v>1.7887988240739384E-2</v>
      </c>
      <c r="I48" s="157">
        <f t="shared" si="38"/>
        <v>-1.8908181443657963E-3</v>
      </c>
      <c r="J48" s="157">
        <f t="shared" si="38"/>
        <v>-6.747937029411076E-2</v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0.11009565391159436</v>
      </c>
      <c r="D50" s="161">
        <f t="shared" ref="D50:M50" si="39">IF(D29="","",D29/D6)</f>
        <v>9.1661397555197838E-2</v>
      </c>
      <c r="E50" s="161">
        <f t="shared" si="39"/>
        <v>0.12295416718934081</v>
      </c>
      <c r="F50" s="161">
        <f t="shared" si="39"/>
        <v>0.1445203499896415</v>
      </c>
      <c r="G50" s="161">
        <f t="shared" si="39"/>
        <v>0.13636200235703244</v>
      </c>
      <c r="H50" s="161">
        <f t="shared" si="39"/>
        <v>0.1500359473767752</v>
      </c>
      <c r="I50" s="161">
        <f t="shared" si="39"/>
        <v>0.14492995312980766</v>
      </c>
      <c r="J50" s="161">
        <f t="shared" si="39"/>
        <v>0.11269266380344538</v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9.6732124698097721E-2</v>
      </c>
      <c r="D51" s="157">
        <f t="shared" ref="D51:M51" si="40">IF(D30="","",D30/D6)</f>
        <v>0.10202614134854508</v>
      </c>
      <c r="E51" s="157">
        <f t="shared" si="40"/>
        <v>0.12026867821851961</v>
      </c>
      <c r="F51" s="157">
        <f t="shared" si="40"/>
        <v>0.10319971286049096</v>
      </c>
      <c r="G51" s="157">
        <f t="shared" si="40"/>
        <v>0.10576948300413792</v>
      </c>
      <c r="H51" s="157">
        <f t="shared" si="40"/>
        <v>9.8066978166136909E-2</v>
      </c>
      <c r="I51" s="157">
        <f t="shared" si="40"/>
        <v>0.10017258898290339</v>
      </c>
      <c r="J51" s="157">
        <f t="shared" si="40"/>
        <v>8.1801814133970613E-2</v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0.19766986347718032</v>
      </c>
      <c r="D53" s="161">
        <f t="shared" ref="D53:M53" si="41">IF(D36="","",(D27-D36)/D27)</f>
        <v>0.21543286092524916</v>
      </c>
      <c r="E53" s="161">
        <f t="shared" si="41"/>
        <v>0.21737674703003232</v>
      </c>
      <c r="F53" s="161">
        <f t="shared" si="41"/>
        <v>0.22004620095970678</v>
      </c>
      <c r="G53" s="161">
        <f t="shared" si="41"/>
        <v>0.19888345313804912</v>
      </c>
      <c r="H53" s="161">
        <f t="shared" si="41"/>
        <v>0.19107288948809867</v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24.499039888277906</v>
      </c>
      <c r="D54" s="162">
        <f t="shared" ref="D54:M54" si="42">IF(OR(D21="",D35=""),"",IF(D35&lt;=0,"-",D21/D35))</f>
        <v>-17.424258091200496</v>
      </c>
      <c r="E54" s="162">
        <f t="shared" si="42"/>
        <v>12.89210964442859</v>
      </c>
      <c r="F54" s="162">
        <f t="shared" si="42"/>
        <v>10.78737355563552</v>
      </c>
      <c r="G54" s="162">
        <f t="shared" si="42"/>
        <v>21.664433277498603</v>
      </c>
      <c r="H54" s="162" t="str">
        <f t="shared" si="42"/>
        <v>-</v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1.4428960526995517E-3</v>
      </c>
      <c r="D55" s="157">
        <f t="shared" ref="D55:M55" si="43">IF(D21="","",IF(MAX(D17,0)&lt;=0,"-",D17/D21))</f>
        <v>-1.5370007714675686E-3</v>
      </c>
      <c r="E55" s="157">
        <f t="shared" si="43"/>
        <v>2.5251418806887757E-3</v>
      </c>
      <c r="F55" s="157">
        <f t="shared" si="43"/>
        <v>6.4491499353231806E-4</v>
      </c>
      <c r="G55" s="157">
        <f t="shared" si="43"/>
        <v>1.6494420246900854E-3</v>
      </c>
      <c r="H55" s="157" t="str">
        <f t="shared" si="43"/>
        <v>-</v>
      </c>
      <c r="I55" s="157" t="str">
        <f t="shared" si="43"/>
        <v>-</v>
      </c>
      <c r="J55" s="157" t="str">
        <f t="shared" si="43"/>
        <v>-</v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3.0168041692869996</v>
      </c>
      <c r="D56" s="163">
        <f t="shared" si="44"/>
        <v>2.7942400285655307</v>
      </c>
      <c r="E56" s="163">
        <f t="shared" si="44"/>
        <v>2.9317232378441278</v>
      </c>
      <c r="F56" s="163">
        <f t="shared" si="44"/>
        <v>3.0944307449985029</v>
      </c>
      <c r="G56" s="163">
        <f t="shared" si="44"/>
        <v>3.4859449249150689</v>
      </c>
      <c r="H56" s="163">
        <f t="shared" si="44"/>
        <v>3.6713486815660423</v>
      </c>
      <c r="I56" s="163" t="e">
        <f t="shared" si="44"/>
        <v>#VALUE!</v>
      </c>
      <c r="J56" s="163" t="e">
        <f t="shared" si="44"/>
        <v>#VALUE!</v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D91" sqref="D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1111022.443135008</v>
      </c>
      <c r="E6" s="56">
        <f>1-D6/D3</f>
        <v>0.69694902760108279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1.0645123242119483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1322113</v>
      </c>
      <c r="D11" s="207">
        <f>Inputs!D40</f>
        <v>0.9</v>
      </c>
      <c r="E11" s="88">
        <f t="shared" ref="E11:E22" si="0">C11*D11</f>
        <v>1189901.7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5523</v>
      </c>
      <c r="J12" s="87"/>
      <c r="K12" s="24"/>
    </row>
    <row r="13" spans="1:11" ht="13.9" x14ac:dyDescent="0.4">
      <c r="B13" s="3" t="s">
        <v>121</v>
      </c>
      <c r="C13" s="40">
        <f>Inputs!C42</f>
        <v>422018</v>
      </c>
      <c r="D13" s="207">
        <f>Inputs!D42</f>
        <v>0.6</v>
      </c>
      <c r="E13" s="88">
        <f t="shared" si="0"/>
        <v>253210.8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221617</v>
      </c>
      <c r="D14" s="207">
        <f>Inputs!D43</f>
        <v>0.6</v>
      </c>
      <c r="E14" s="88">
        <f t="shared" si="0"/>
        <v>132970.19999999998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63587</v>
      </c>
      <c r="D17" s="207">
        <f>Inputs!D46</f>
        <v>0.1</v>
      </c>
      <c r="E17" s="88">
        <f t="shared" si="0"/>
        <v>6358.7000000000007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370793</v>
      </c>
      <c r="D18" s="207">
        <f>Inputs!D47</f>
        <v>0.5</v>
      </c>
      <c r="E18" s="88">
        <f t="shared" si="0"/>
        <v>185396.5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22411</v>
      </c>
      <c r="D21" s="207">
        <f>Inputs!D50</f>
        <v>0.9</v>
      </c>
      <c r="E21" s="88">
        <f t="shared" si="0"/>
        <v>20169.900000000001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4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4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4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4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3"/>
      <c r="G28" s="87"/>
      <c r="H28" s="78" t="s">
        <v>16</v>
      </c>
      <c r="I28" s="215">
        <f>Inputs!C70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39731</v>
      </c>
      <c r="D31" s="207">
        <f>Inputs!D53</f>
        <v>0.6</v>
      </c>
      <c r="E31" s="88">
        <f t="shared" ref="E31:E42" si="1">C31*D31</f>
        <v>23838.6</v>
      </c>
      <c r="F31" s="113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Inputs!C57</f>
        <v>85171</v>
      </c>
      <c r="D35" s="207">
        <f>Inputs!D57</f>
        <v>0.1</v>
      </c>
      <c r="E35" s="88">
        <f t="shared" si="1"/>
        <v>8517.1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1863998</v>
      </c>
      <c r="D38" s="207">
        <f>Inputs!D60</f>
        <v>0.1</v>
      </c>
      <c r="E38" s="88">
        <f t="shared" si="1"/>
        <v>186399.80000000002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23958</v>
      </c>
      <c r="D40" s="207">
        <f>Inputs!D62</f>
        <v>0.05</v>
      </c>
      <c r="E40" s="88">
        <f t="shared" si="1"/>
        <v>1197.9000000000001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71331</v>
      </c>
      <c r="D41" s="207">
        <f>Inputs!D63</f>
        <v>0.9</v>
      </c>
      <c r="E41" s="88">
        <f t="shared" si="1"/>
        <v>64197.9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62618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6">
        <f>Inputs!C75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1.2696962897637043</v>
      </c>
      <c r="E53" s="88">
        <f>IF(C53=0,0,MAX(C53,C53*Dashboard!G23))</f>
        <v>57914.656864991841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7638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1322113</v>
      </c>
      <c r="D62" s="108">
        <f t="shared" si="2"/>
        <v>0.89999999999999991</v>
      </c>
      <c r="E62" s="119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3833194</v>
      </c>
      <c r="D74" s="218"/>
      <c r="E74" s="205">
        <f>H74*0.9</f>
        <v>3449874.6</v>
      </c>
      <c r="F74" s="218"/>
      <c r="H74" s="205">
        <f>C74</f>
        <v>3833194</v>
      </c>
      <c r="I74" s="218"/>
      <c r="K74" s="24"/>
    </row>
    <row r="75" spans="1:11" ht="15" customHeight="1" x14ac:dyDescent="0.4">
      <c r="B75" s="105" t="s">
        <v>109</v>
      </c>
      <c r="C75" s="77">
        <f>Data!C8</f>
        <v>2530133</v>
      </c>
      <c r="D75" s="164">
        <f>C75/$C$74</f>
        <v>0.66005868735054896</v>
      </c>
      <c r="E75" s="186">
        <f>E74*F75</f>
        <v>2277119.7000000002</v>
      </c>
      <c r="F75" s="165">
        <f>I75</f>
        <v>0.66005868735054896</v>
      </c>
      <c r="H75" s="205">
        <f>D75*H74</f>
        <v>2530133</v>
      </c>
      <c r="I75" s="165">
        <f>H75/$H$74</f>
        <v>0.66005868735054896</v>
      </c>
      <c r="K75" s="24"/>
    </row>
    <row r="76" spans="1:11" ht="15" customHeight="1" x14ac:dyDescent="0.4">
      <c r="B76" s="35" t="s">
        <v>96</v>
      </c>
      <c r="C76" s="166">
        <f>C74-C75</f>
        <v>1303061</v>
      </c>
      <c r="D76" s="219"/>
      <c r="E76" s="167">
        <f>E74-E75</f>
        <v>1172754.8999999999</v>
      </c>
      <c r="F76" s="219"/>
      <c r="H76" s="167">
        <f>H74-H75</f>
        <v>1303061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782094</v>
      </c>
      <c r="D77" s="164">
        <f>C77/$C$74</f>
        <v>0.20403193785652382</v>
      </c>
      <c r="E77" s="186">
        <f>E74*F77</f>
        <v>703884.6</v>
      </c>
      <c r="F77" s="165">
        <f>I77</f>
        <v>0.20403193785652382</v>
      </c>
      <c r="H77" s="205">
        <f>D77*H74</f>
        <v>782094</v>
      </c>
      <c r="I77" s="165">
        <f>H77/$H$74</f>
        <v>0.20403193785652382</v>
      </c>
      <c r="K77" s="24"/>
    </row>
    <row r="78" spans="1:11" ht="15" customHeight="1" x14ac:dyDescent="0.4">
      <c r="B78" s="35" t="s">
        <v>97</v>
      </c>
      <c r="C78" s="166">
        <f>C76-C77</f>
        <v>520967</v>
      </c>
      <c r="D78" s="219"/>
      <c r="E78" s="167">
        <f>E76-E77</f>
        <v>468870.29999999993</v>
      </c>
      <c r="F78" s="219"/>
      <c r="H78" s="167">
        <f>H76-H77</f>
        <v>520967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270</v>
      </c>
      <c r="D79" s="164">
        <f>C79/$C$74</f>
        <v>7.0437342852983705E-5</v>
      </c>
      <c r="E79" s="186">
        <f>E74*F79</f>
        <v>243.00000000000003</v>
      </c>
      <c r="F79" s="165">
        <f t="shared" ref="F79:F84" si="3">I79</f>
        <v>7.0437342852983705E-5</v>
      </c>
      <c r="H79" s="205">
        <f>C79</f>
        <v>270</v>
      </c>
      <c r="I79" s="165">
        <f>H79/$H$74</f>
        <v>7.0437342852983705E-5</v>
      </c>
      <c r="K79" s="24"/>
    </row>
    <row r="80" spans="1:11" ht="15" customHeight="1" x14ac:dyDescent="0.4">
      <c r="B80" s="28" t="s">
        <v>135</v>
      </c>
      <c r="C80" s="77">
        <f>MAX(Data!C14,0)+MAX(Data!C15,0)</f>
        <v>329600</v>
      </c>
      <c r="D80" s="164">
        <f>C80/$C$74</f>
        <v>8.5985734090160845E-2</v>
      </c>
      <c r="E80" s="186">
        <f>E74*F80</f>
        <v>68997.491999999998</v>
      </c>
      <c r="F80" s="165">
        <f t="shared" si="3"/>
        <v>0.02</v>
      </c>
      <c r="H80" s="205">
        <f>H74*2%</f>
        <v>76663.88</v>
      </c>
      <c r="I80" s="165">
        <f>H80/$H$74</f>
        <v>0.02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2980</v>
      </c>
      <c r="D82" s="164">
        <f>C82/$C$74</f>
        <v>7.7741956185885708E-4</v>
      </c>
      <c r="E82" s="186">
        <f>E74*F82</f>
        <v>2682</v>
      </c>
      <c r="F82" s="165">
        <f t="shared" si="3"/>
        <v>7.7741956185885708E-4</v>
      </c>
      <c r="H82" s="205">
        <f>H74*D82</f>
        <v>2980</v>
      </c>
      <c r="I82" s="165">
        <f>H82/$H$74</f>
        <v>7.7741956185885708E-4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188117</v>
      </c>
      <c r="D83" s="169">
        <f>C83/$C$74</f>
        <v>4.9075783798054572E-2</v>
      </c>
      <c r="E83" s="170">
        <f>E78-E79-E80-E81-E82</f>
        <v>396947.80799999996</v>
      </c>
      <c r="F83" s="169">
        <f>E83/E74</f>
        <v>0.11506151788821541</v>
      </c>
      <c r="H83" s="170">
        <f>H78-H79-H80-H81-H82</f>
        <v>441053.12</v>
      </c>
      <c r="I83" s="169">
        <f>H83/$H$74</f>
        <v>0.11506151788821542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141087.75</v>
      </c>
      <c r="D85" s="171">
        <f>C85/$C$74</f>
        <v>3.6806837848540927E-2</v>
      </c>
      <c r="E85" s="172">
        <f>E83*(1-F84)</f>
        <v>297710.85599999997</v>
      </c>
      <c r="F85" s="171">
        <f>E85/E74</f>
        <v>8.6296138416161544E-2</v>
      </c>
      <c r="H85" s="172">
        <f>H83*(1-I84)</f>
        <v>330789.83999999997</v>
      </c>
      <c r="I85" s="171">
        <f>H85/$H$74</f>
        <v>8.6296138416161558E-2</v>
      </c>
      <c r="K85" s="24"/>
    </row>
    <row r="86" spans="1:11" ht="15" customHeight="1" x14ac:dyDescent="0.4">
      <c r="B86" s="87" t="s">
        <v>172</v>
      </c>
      <c r="C86" s="173">
        <f>C85*Data!C4/Common_Shares</f>
        <v>0.13518147144403247</v>
      </c>
      <c r="D86" s="218"/>
      <c r="E86" s="174">
        <f>E85*Data!C4/Common_Shares</f>
        <v>0.28524795085996102</v>
      </c>
      <c r="F86" s="218"/>
      <c r="H86" s="174">
        <f>H85*Data!C4/Common_Shares</f>
        <v>0.31694216762217886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3.0309746701302105E-2</v>
      </c>
      <c r="D87" s="218"/>
      <c r="E87" s="239">
        <f>E86*Exchange_Rate/Dashboard!G3</f>
        <v>6.3956939107667587E-2</v>
      </c>
      <c r="F87" s="218"/>
      <c r="H87" s="239">
        <f>H86*Exchange_Rate/Dashboard!G3</f>
        <v>7.1063265675186185E-2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0.15820000000000001</v>
      </c>
      <c r="D88" s="171">
        <f>C88/C86</f>
        <v>1.1702787246660324</v>
      </c>
      <c r="E88" s="204">
        <f>H88</f>
        <v>0.15820000000000001</v>
      </c>
      <c r="F88" s="171">
        <f>E88/E86</f>
        <v>0.5546052110911267</v>
      </c>
      <c r="H88" s="176">
        <f>Inputs!F6</f>
        <v>0.15820000000000001</v>
      </c>
      <c r="I88" s="171">
        <f>H88/H86</f>
        <v>0.49914468998201406</v>
      </c>
      <c r="K88" s="24"/>
    </row>
    <row r="89" spans="1:11" ht="15" customHeight="1" x14ac:dyDescent="0.4">
      <c r="B89" s="87" t="s">
        <v>244</v>
      </c>
      <c r="C89" s="165">
        <f>C88*Exchange_Rate/Dashboard!G3</f>
        <v>3.5470851714550312E-2</v>
      </c>
      <c r="D89" s="218"/>
      <c r="E89" s="165">
        <f>E88*Exchange_Rate/Dashboard!G3</f>
        <v>3.5470851714550312E-2</v>
      </c>
      <c r="F89" s="218"/>
      <c r="H89" s="165">
        <f>H88*Exchange_Rate/Dashboard!G3</f>
        <v>3.5470851714550312E-2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5.4014491718374851</v>
      </c>
      <c r="H93" s="87" t="s">
        <v>229</v>
      </c>
      <c r="I93" s="146">
        <f>FV(H87,D93,0,-(H86/C93))</f>
        <v>6.2047337467021659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2.6155520876651979</v>
      </c>
      <c r="H94" s="87" t="s">
        <v>230</v>
      </c>
      <c r="I94" s="146">
        <f>FV(H89,D93,0,-(H88/C93))</f>
        <v>2.6155520876651979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4574265.4275976475</v>
      </c>
      <c r="E97" s="124">
        <f>PV(C94,D93,0,-F93)*Exchange_Rate</f>
        <v>2.6854748651338123</v>
      </c>
      <c r="F97" s="124">
        <f>PV(C93,D93,0,-F93)*Exchange_Rate</f>
        <v>3.8153674202839758</v>
      </c>
      <c r="H97" s="124">
        <f>PV(C93,D93,0,-I93)*Exchange_Rate</f>
        <v>4.3827754803533008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57914.656864991841</v>
      </c>
      <c r="E98" s="222"/>
      <c r="F98" s="222"/>
      <c r="H98" s="124">
        <f>C98*Data!$C$4/Common_Shares</f>
        <v>5.5490207570719888E-2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1168937.0999999999</v>
      </c>
      <c r="E99" s="223"/>
      <c r="F99" s="148">
        <f>IF(H99&gt;0,H99*0.85,H99*1.15)</f>
        <v>0.95200215201526783</v>
      </c>
      <c r="H99" s="148">
        <f>C99*Data!$C$4/Common_Shares</f>
        <v>1.1200025317826681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5685287.8707326557</v>
      </c>
      <c r="E100" s="110">
        <f>MAX(E97-H98+F99,0)</f>
        <v>3.58198680957836</v>
      </c>
      <c r="F100" s="110">
        <f>MAX(F97-H98+F99,0)</f>
        <v>4.7118793647285235</v>
      </c>
      <c r="H100" s="110">
        <f>MAX(C100*Data!$C$4/Common_Shares,0)</f>
        <v>5.4472878045652493</v>
      </c>
      <c r="I100" s="110">
        <f>H100*1.25</f>
        <v>6.8091097557065616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1928242.2062101839</v>
      </c>
      <c r="E103" s="110">
        <f>PV(C94,D93,0,-F94)*Exchange_Rate</f>
        <v>1.3003916479480095</v>
      </c>
      <c r="F103" s="124">
        <f>PV(C93,D93,0,-F94)*Exchange_Rate</f>
        <v>1.847521267693192</v>
      </c>
      <c r="H103" s="124">
        <f>PV(C93,D93,0,-I94)*Exchange_Rate</f>
        <v>1.847521267693192</v>
      </c>
      <c r="I103" s="110">
        <f>H103*1.25</f>
        <v>2.3094015846164901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3422995.276982578</v>
      </c>
      <c r="E106" s="110">
        <f>(E100+E103)/2</f>
        <v>2.4411892287631849</v>
      </c>
      <c r="F106" s="124">
        <f>(F100+F103)/2</f>
        <v>3.2797003162108576</v>
      </c>
      <c r="H106" s="124">
        <f>(H100+H103)/2</f>
        <v>3.6474045361292209</v>
      </c>
      <c r="I106" s="110">
        <f>H106*1.25</f>
        <v>4.5592556701615266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