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16EC75-1DB8-40FA-A9A5-813A675473BB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E88" i="3"/>
  <c r="C87" i="3"/>
  <c r="F36" i="3"/>
  <c r="F37" i="3"/>
  <c r="F35" i="3"/>
  <c r="F20" i="3"/>
  <c r="F19" i="3"/>
  <c r="F5" i="4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<sst xmlns="http://schemas.openxmlformats.org/spreadsheetml/2006/main" count="350" uniqueCount="250">
  <si>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</si>
  <si>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</si>
  <si>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</si>
  <si>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</si>
  <si>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</si>
  <si>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</si>
  <si>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</si>
  <si>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</si>
  <si>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</si>
  <si>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</si>
  <si>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</si>
  <si>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</si>
  <si>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</si>
  <si>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</si>
  <si>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</si>
  <si>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</si>
  <si>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</si>
  <si>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</si>
  <si>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</si>
  <si>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</si>
  <si>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</si>
  <si>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</si>
  <si>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</si>
  <si>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</si>
  <si>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</si>
  <si>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</si>
  <si>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</si>
  <si>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</si>
  <si>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</si>
  <si>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</si>
  <si>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</si>
  <si>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</si>
  <si>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</si>
  <si>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</si>
  <si>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</si>
  <si>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</si>
  <si>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</si>
  <si>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</si>
  <si>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</si>
  <si>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</si>
  <si>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</si>
  <si>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</si>
  <si>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</si>
  <si>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</si>
  <si>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</si>
  <si>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</si>
  <si>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</si>
  <si>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</si>
  <si>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</si>
  <si>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</si>
  <si>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</si>
  <si>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</si>
  <si>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</si>
  <si>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</si>
  <si>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</si>
  <si>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</si>
  <si>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</si>
  <si>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</si>
  <si>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</si>
  <si>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</si>
  <si>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</si>
  <si>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</si>
  <si>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</si>
  <si>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</si>
  <si>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</si>
  <si>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</si>
  <si>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</si>
  <si>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</si>
  <si>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</si>
  <si>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</si>
  <si>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</si>
  <si>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</si>
  <si>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</si>
  <si>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</si>
  <si>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</si>
  <si>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</si>
  <si>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</si>
  <si>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</si>
  <si>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</si>
  <si>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</si>
  <si>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</si>
  <si>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</si>
  <si>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</si>
  <si>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</si>
  <si>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</si>
  <si>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</si>
  <si>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</si>
  <si>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</si>
  <si>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</si>
  <si>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</si>
  <si>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</si>
  <si>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</si>
  <si>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</si>
  <si>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</si>
  <si>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</si>
  <si>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</si>
  <si>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</si>
  <si>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</si>
  <si>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</si>
  <si>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</si>
  <si>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</si>
  <si>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</si>
  <si>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</si>
  <si>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</si>
  <si>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</si>
  <si>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</si>
  <si>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</si>
  <si>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</si>
  <si>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</si>
  <si>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</si>
  <si>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</si>
  <si>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</si>
  <si>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</si>
  <si>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</si>
  <si>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</si>
  <si>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</si>
  <si>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</si>
  <si>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</si>
  <si>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</si>
  <si>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</si>
  <si>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</si>
  <si>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</si>
  <si>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</si>
  <si>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</si>
  <si>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</si>
  <si>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</si>
  <si>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</si>
  <si>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</si>
  <si>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</si>
  <si>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</si>
  <si>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</si>
  <si>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</si>
  <si>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</si>
  <si>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</si>
  <si>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</si>
  <si>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</si>
  <si>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</si>
  <si>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</si>
  <si>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</si>
  <si>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</si>
  <si>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</si>
  <si>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</si>
  <si>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</si>
  <si>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</si>
  <si>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</si>
  <si>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</si>
  <si>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</si>
  <si>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</si>
  <si>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</si>
  <si>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</si>
  <si>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</si>
  <si>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</si>
  <si>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</si>
  <si>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</si>
  <si>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</si>
  <si>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</si>
  <si>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</si>
  <si>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</si>
  <si>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</si>
  <si>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</si>
  <si>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</si>
  <si>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</si>
  <si>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</si>
  <si>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</si>
  <si>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</si>
  <si>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</si>
  <si>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</si>
  <si>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</si>
  <si>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</si>
  <si>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</si>
  <si>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</si>
  <si>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</si>
  <si>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</si>
  <si>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</si>
  <si>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</si>
  <si>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</si>
  <si>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</si>
  <si>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</si>
  <si>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</si>
  <si>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</si>
  <si>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</si>
  <si>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</si>
  <si>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</si>
  <si>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</si>
  <si>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</si>
  <si>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</si>
  <si>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</si>
  <si>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</si>
  <si>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</si>
  <si>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</si>
  <si>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</si>
  <si>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</si>
  <si>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</si>
  <si>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</si>
  <si>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</si>
  <si>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</si>
  <si>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</si>
  <si>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</si>
  <si>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</si>
  <si>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</si>
  <si>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</si>
  <si>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</si>
  <si>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</si>
  <si>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</si>
  <si>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</si>
  <si>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</si>
  <si>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</si>
  <si>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</si>
  <si>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</si>
  <si>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</si>
  <si>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</si>
  <si>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</si>
  <si>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</si>
  <si>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</si>
  <si>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</si>
  <si>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</si>
  <si>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</si>
  <si>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</si>
  <si>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</si>
  <si>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</si>
  <si>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</si>
  <si>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</si>
  <si>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</si>
  <si>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</si>
  <si>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</si>
  <si>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</si>
  <si>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</si>
  <si>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</si>
  <si>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</si>
  <si>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</si>
  <si>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</si>
  <si>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</si>
  <si>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</si>
  <si>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</si>
  <si>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</si>
  <si>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</si>
  <si>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</si>
  <si>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</si>
  <si>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</si>
  <si>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</si>
  <si>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</si>
  <si>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</si>
  <si>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</si>
  <si>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6601.HK</t>
    <phoneticPr fontId="20" type="noConversion"/>
  </si>
  <si>
    <t>朝云集团</t>
    <phoneticPr fontId="20" type="noConversion"/>
  </si>
  <si>
    <t>C0007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</si>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</sst>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3" sqref="D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6601.HK</v>
      </c>
      <c r="D3" s="246"/>
      <c r="E3" s="87"/>
      <c r="F3" s="3" t="s">
        <v>1</v>
      </c>
      <c r="G3" s="133">
        <v>1.940000057220459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朝云集团</v>
      </c>
      <c r="D4" s="248"/>
      <c r="E4" s="87"/>
      <c r="F4" s="3" t="s">
        <v>3</v>
      </c>
      <c r="G4" s="251">
        <f>Inputs!C10</f>
        <v>1333333500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2586.667066293955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0.55541924442229906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0.35722663926689097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6.208277497005729E-4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9.4776814590380575E-3</v>
      </c>
      <c r="F23" s="141" t="s">
        <v>204</v>
      </c>
      <c r="G23" s="183">
        <f>G3/(Data!C36*Data!C4/Common_Shares*Exchange_Rate)</f>
        <v>0.79183310435224008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3.8363070176426914E-2</v>
      </c>
    </row>
    <row r="25" spans="1:8" ht="15.75" customHeight="1" x14ac:dyDescent="0.4">
      <c r="B25" s="138" t="s">
        <v>208</v>
      </c>
      <c r="C25" s="177">
        <f>Fin_Analysis!I82</f>
        <v>1.3611168709786237E-3</v>
      </c>
      <c r="F25" s="141" t="s">
        <v>188</v>
      </c>
      <c r="G25" s="177">
        <f>Fin_Analysis!I88</f>
        <v>1.7079799076777531</v>
      </c>
    </row>
    <row r="26" spans="1:8" ht="15.75" customHeight="1" x14ac:dyDescent="0.4">
      <c r="B26" s="139" t="s">
        <v>187</v>
      </c>
      <c r="C26" s="177">
        <f>Fin_Analysis!I83</f>
        <v>7.5894490231092765E-2</v>
      </c>
      <c r="F26" s="142" t="s">
        <v>210</v>
      </c>
      <c r="G26" s="184">
        <f>Fin_Analysis!H88*Exchange_Rate/G3</f>
        <v>6.5523353058168796E-2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1.594996070705033</v>
      </c>
      <c r="D29" s="130">
        <f>IF(Fin_Analysis!C108="Profit",Fin_Analysis!I100,IF(Fin_Analysis!C108="Dividend",Fin_Analysis!I103,Fin_Analysis!I106))</f>
        <v>2.624701363985662</v>
      </c>
      <c r="E29" s="87"/>
      <c r="F29" s="132">
        <f>IF(Fin_Analysis!C108="Profit",Fin_Analysis!F100,IF(Fin_Analysis!C108="Dividend",Fin_Analysis!F103,Fin_Analysis!F106))</f>
        <v>1.9791168658051488</v>
      </c>
      <c r="G29" s="242">
        <f>IF(Fin_Analysis!C108="Profit",Fin_Analysis!H100,IF(Fin_Analysis!C108="Dividend",Fin_Analysis!H103,Fin_Analysis!H106))</f>
        <v>2.0997610911885296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1" zoomScaleNormal="100" workbookViewId="0">
      <selection activeCell="C50" sqref="C5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0.0538+0.064</f>
        <v>0.1178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0.1178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1333333500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1615585</v>
      </c>
      <c r="D19" s="152">
        <v>1446638</v>
      </c>
      <c r="E19" s="152">
        <v>1769157</v>
      </c>
      <c r="F19" s="152">
        <v>1702154</v>
      </c>
      <c r="G19" s="152">
        <v>1383402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897327</v>
      </c>
      <c r="D20" s="153">
        <v>845264</v>
      </c>
      <c r="E20" s="153">
        <v>981731</v>
      </c>
      <c r="F20" s="153">
        <v>959572</v>
      </c>
      <c r="G20" s="153">
        <v>783542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613104</v>
      </c>
      <c r="D21" s="153">
        <v>599182</v>
      </c>
      <c r="E21" s="153">
        <v>705390</v>
      </c>
      <c r="F21" s="153">
        <v>456610</v>
      </c>
      <c r="G21" s="153">
        <v>396643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1003</v>
      </c>
      <c r="D26" s="153">
        <v>863</v>
      </c>
      <c r="E26" s="153">
        <v>1613</v>
      </c>
      <c r="F26" s="153">
        <v>2645</v>
      </c>
      <c r="G26" s="153">
        <v>299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>
        <v>3103683</v>
      </c>
      <c r="F28" s="153">
        <v>1398268</v>
      </c>
      <c r="G28" s="153">
        <v>1034632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>
        <v>677999</v>
      </c>
      <c r="F31" s="153">
        <v>1352795</v>
      </c>
      <c r="G31" s="153">
        <v>1205068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>
        <v>5517</v>
      </c>
      <c r="F33" s="153">
        <v>301783</v>
      </c>
      <c r="G33" s="153">
        <v>3225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>
        <v>9392</v>
      </c>
      <c r="F34" s="153">
        <v>5096</v>
      </c>
      <c r="G34" s="153">
        <v>6880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>
        <v>2735259</v>
      </c>
      <c r="F35" s="153">
        <v>250534</v>
      </c>
      <c r="G35" s="153">
        <v>13930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>
        <v>1498</v>
      </c>
      <c r="F36" s="153">
        <v>2853</v>
      </c>
      <c r="G36" s="153">
        <v>696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2385307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180994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0</v>
      </c>
      <c r="D43" s="60">
        <v>0.6</v>
      </c>
      <c r="E43" s="113"/>
    </row>
    <row r="44" spans="2:13" ht="13.9" x14ac:dyDescent="0.4">
      <c r="B44" s="3" t="s">
        <v>44</v>
      </c>
      <c r="C44" s="59">
        <v>253051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0</v>
      </c>
      <c r="D46" s="60">
        <v>0.1</v>
      </c>
      <c r="E46" s="113"/>
    </row>
    <row r="47" spans="2:13" ht="13.9" x14ac:dyDescent="0.4">
      <c r="B47" s="3" t="s">
        <v>47</v>
      </c>
      <c r="C47" s="59">
        <v>158110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5912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0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279425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126127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0</v>
      </c>
      <c r="D56" s="60">
        <v>0.4</v>
      </c>
      <c r="E56" s="113"/>
    </row>
    <row r="57" spans="2:5" ht="13.9" x14ac:dyDescent="0.4">
      <c r="B57" s="3" t="s">
        <v>70</v>
      </c>
      <c r="C57" s="59">
        <v>1500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193915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9704</v>
      </c>
      <c r="D62" s="60">
        <v>0.05</v>
      </c>
      <c r="E62" s="113"/>
    </row>
    <row r="63" spans="2:5" ht="13.9" x14ac:dyDescent="0.4">
      <c r="B63" s="3" t="s">
        <v>75</v>
      </c>
      <c r="C63" s="59">
        <v>76124</v>
      </c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611931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20583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30946</v>
      </c>
    </row>
    <row r="76" spans="2:3" ht="14.25" thickTop="1" x14ac:dyDescent="0.4">
      <c r="B76" s="73" t="s">
        <v>242</v>
      </c>
      <c r="C76" s="59">
        <v>3023302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101219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1615585</v>
      </c>
      <c r="D6" s="209">
        <f>IF(Inputs!D19="","",Inputs!D19)</f>
        <v>1446638</v>
      </c>
      <c r="E6" s="209">
        <f>IF(Inputs!E19="","",Inputs!E19)</f>
        <v>1769157</v>
      </c>
      <c r="F6" s="209">
        <f>IF(Inputs!F19="","",Inputs!F19)</f>
        <v>1702154</v>
      </c>
      <c r="G6" s="209">
        <f>IF(Inputs!G19="","",Inputs!G19)</f>
        <v>1383402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897327</v>
      </c>
      <c r="D8" s="208">
        <f>IF(Inputs!D20="","",Inputs!D20)</f>
        <v>845264</v>
      </c>
      <c r="E8" s="208">
        <f>IF(Inputs!E20="","",Inputs!E20)</f>
        <v>981731</v>
      </c>
      <c r="F8" s="208">
        <f>IF(Inputs!F20="","",Inputs!F20)</f>
        <v>959572</v>
      </c>
      <c r="G8" s="208">
        <f>IF(Inputs!G20="","",Inputs!G20)</f>
        <v>783542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718258</v>
      </c>
      <c r="D9" s="154">
        <f t="shared" si="2"/>
        <v>601374</v>
      </c>
      <c r="E9" s="154">
        <f t="shared" si="2"/>
        <v>787426</v>
      </c>
      <c r="F9" s="154">
        <f t="shared" si="2"/>
        <v>742582</v>
      </c>
      <c r="G9" s="154">
        <f t="shared" si="2"/>
        <v>599860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613104</v>
      </c>
      <c r="D10" s="208">
        <f>IF(Inputs!D21="","",Inputs!D21)</f>
        <v>599182</v>
      </c>
      <c r="E10" s="208">
        <f>IF(Inputs!E21="","",Inputs!E21)</f>
        <v>705390</v>
      </c>
      <c r="F10" s="208">
        <f>IF(Inputs!F21="","",Inputs!F21)</f>
        <v>456610</v>
      </c>
      <c r="G10" s="208">
        <f>IF(Inputs!G21="","",Inputs!G21)</f>
        <v>396643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2.2266856897037297E-2</v>
      </c>
      <c r="D11" s="155">
        <f t="shared" ref="D11:M11" si="3">IF(OR(D6="",D12=""),"",D12/D6)</f>
        <v>2.2193527337177648E-2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141128</v>
      </c>
      <c r="D13" s="154">
        <f t="shared" ref="D13:M13" si="4">IF(D6="","",(D9-D10+MAX(D12,0)))</f>
        <v>34298</v>
      </c>
      <c r="E13" s="154">
        <f t="shared" si="4"/>
        <v>82036</v>
      </c>
      <c r="F13" s="154">
        <f t="shared" si="4"/>
        <v>285972</v>
      </c>
      <c r="G13" s="154">
        <f t="shared" si="4"/>
        <v>203217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1003</v>
      </c>
      <c r="D17" s="208">
        <f>IF(Inputs!D26="","",Inputs!D26)</f>
        <v>863</v>
      </c>
      <c r="E17" s="208">
        <f>IF(Inputs!E26="","",Inputs!E26)</f>
        <v>1613</v>
      </c>
      <c r="F17" s="208">
        <f>IF(Inputs!F26="","",Inputs!F26)</f>
        <v>2645</v>
      </c>
      <c r="G17" s="208">
        <f>IF(Inputs!G26="","",Inputs!G26)</f>
        <v>299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101219</v>
      </c>
      <c r="D19" s="237">
        <f>IF(D6="","",D9-D10-MAX(D17,0)-MAX(D18,0)/(1-Fin_Analysis!$I$84))</f>
        <v>469</v>
      </c>
      <c r="E19" s="237">
        <f>IF(E6="","",E9-E10-MAX(E17,0)-MAX(E18,0)/(1-Fin_Analysis!$I$84))</f>
        <v>80423</v>
      </c>
      <c r="F19" s="237">
        <f>IF(F6="","",F9-F10-MAX(F17,0)-MAX(F18,0)/(1-Fin_Analysis!$I$84))</f>
        <v>283327</v>
      </c>
      <c r="G19" s="237">
        <f>IF(G6="","",G9-G10-MAX(G17,0)-MAX(G18,0)/(1-Fin_Analysis!$I$84))</f>
        <v>202918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214.81876332622602</v>
      </c>
      <c r="D20" s="238">
        <f t="shared" ref="D20:M20" si="5">IF(E19="","",IF(ABS(D19+E19)=ABS(D19)+ABS(E19),IF(D19&lt;0,-1,1)*(D19-E19)/E19,"Turn"))</f>
        <v>-0.99416833492906254</v>
      </c>
      <c r="E20" s="238">
        <f t="shared" si="5"/>
        <v>-0.71614777271491947</v>
      </c>
      <c r="F20" s="238">
        <f t="shared" si="5"/>
        <v>0.3962635153116037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121881</v>
      </c>
      <c r="D21" s="77">
        <f>IF(D6="","",D13-MAX(D14,0)-MAX(D15,0)-MAX(D16,0)-MAX(D17,0)-MAX(D18,0)/(1-Fin_Analysis!$I$84))</f>
        <v>20975</v>
      </c>
      <c r="E21" s="77">
        <f>IF(E6="","",E13-MAX(E14,0)-MAX(E15,0)-MAX(E16,0)-MAX(E17,0)-MAX(E18,0)/(1-Fin_Analysis!$I$84))</f>
        <v>80423</v>
      </c>
      <c r="F21" s="77">
        <f>IF(F6="","",F13-MAX(F14,0)-MAX(F15,0)-MAX(F16,0)-MAX(F17,0)-MAX(F18,0)/(1-Fin_Analysis!$I$84))</f>
        <v>283327</v>
      </c>
      <c r="G21" s="77">
        <f>IF(G6="","",G13-MAX(G14,0)-MAX(G15,0)-MAX(G16,0)-MAX(G17,0)-MAX(G18,0)/(1-Fin_Analysis!$I$84))</f>
        <v>202918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4.8107747318235994</v>
      </c>
      <c r="D22" s="156">
        <f t="shared" ref="D22:M22" si="6">IF(E21="","",IF(ABS(D21+E21)=ABS(D21)+ABS(E21),IF(D21&lt;0,-1,1)*(D21-E21)/E21,"Turn"))</f>
        <v>-0.73919152481255357</v>
      </c>
      <c r="E22" s="156">
        <f t="shared" si="6"/>
        <v>-0.71614777271491947</v>
      </c>
      <c r="F22" s="156">
        <f t="shared" si="6"/>
        <v>0.3962635153116037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5.6580588455574912E-2</v>
      </c>
      <c r="D23" s="157">
        <f t="shared" si="7"/>
        <v>1.0874351427240263E-2</v>
      </c>
      <c r="E23" s="157">
        <f t="shared" si="7"/>
        <v>3.4093780258055109E-2</v>
      </c>
      <c r="F23" s="157">
        <f t="shared" si="7"/>
        <v>0.12483902749104958</v>
      </c>
      <c r="G23" s="157">
        <f t="shared" si="7"/>
        <v>0.11001032237917828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91410.75</v>
      </c>
      <c r="D24" s="77">
        <f>IF(D6="","",D21*(1-Fin_Analysis!$I$84))</f>
        <v>15731.25</v>
      </c>
      <c r="E24" s="77">
        <f>IF(E6="","",E21*(1-Fin_Analysis!$I$84))</f>
        <v>60317.25</v>
      </c>
      <c r="F24" s="77">
        <f>IF(F6="","",F21*(1-Fin_Analysis!$I$84))</f>
        <v>212495.25</v>
      </c>
      <c r="G24" s="77">
        <f>IF(G6="","",G21*(1-Fin_Analysis!$I$84))</f>
        <v>152188.5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4.8107747318235994</v>
      </c>
      <c r="D25" s="159">
        <f t="shared" ref="D25:M25" si="8">IF(E24="","",IF(ABS(D24+E24)=ABS(D24)+ABS(E24),IF(D24&lt;0,-1,1)*(D24-E24)/E24,"Turn"))</f>
        <v>-0.73919152481255357</v>
      </c>
      <c r="E25" s="159">
        <f t="shared" si="8"/>
        <v>-0.71614777271491947</v>
      </c>
      <c r="F25" s="159">
        <f t="shared" si="8"/>
        <v>0.3962635153116037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18">IF(D36="","",D36+D31+D32)</f>
        <v>3578159</v>
      </c>
      <c r="E27" s="65">
        <f t="shared" si="18"/>
        <v>3474535</v>
      </c>
      <c r="F27" s="65">
        <f t="shared" si="18"/>
        <v>1654558</v>
      </c>
      <c r="G27" s="65">
        <f t="shared" si="18"/>
        <v>1242193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8">
        <f>IF(Inputs!D28="","",Inputs!D28)</f>
        <v>3160304</v>
      </c>
      <c r="E28" s="208">
        <f>IF(Inputs!E28="","",Inputs!E28)</f>
        <v>3103683</v>
      </c>
      <c r="F28" s="208">
        <f>IF(Inputs!F28="","",Inputs!F28)</f>
        <v>1398268</v>
      </c>
      <c r="G28" s="208">
        <f>IF(Inputs!G28="","",Inputs!G28)</f>
        <v>1034632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180994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158110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8">
        <f>IF(Inputs!D31="","",Inputs!D31)</f>
        <v>734909</v>
      </c>
      <c r="E31" s="208">
        <f>IF(Inputs!E31="","",Inputs!E31)</f>
        <v>677999</v>
      </c>
      <c r="F31" s="208">
        <f>IF(Inputs!F31="","",Inputs!F31)</f>
        <v>1352795</v>
      </c>
      <c r="G31" s="208">
        <f>IF(Inputs!G31="","",Inputs!G31)</f>
        <v>1205068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30946</v>
      </c>
      <c r="D32" s="208">
        <f>IF(Inputs!D32="","",Inputs!D32)</f>
        <v>18682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8">
        <f>IF(Inputs!D33="","",Inputs!D33)</f>
        <v>6202</v>
      </c>
      <c r="E33" s="208">
        <f>IF(Inputs!E33="","",Inputs!E33)</f>
        <v>5517</v>
      </c>
      <c r="F33" s="208">
        <f>IF(Inputs!F33="","",Inputs!F33)</f>
        <v>301783</v>
      </c>
      <c r="G33" s="208">
        <f>IF(Inputs!G33="","",Inputs!G33)</f>
        <v>3225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8">
        <f>IF(Inputs!D34="","",Inputs!D34)</f>
        <v>10412</v>
      </c>
      <c r="E34" s="208">
        <f>IF(Inputs!E34="","",Inputs!E34)</f>
        <v>9392</v>
      </c>
      <c r="F34" s="208">
        <f>IF(Inputs!F34="","",Inputs!F34)</f>
        <v>5096</v>
      </c>
      <c r="G34" s="208">
        <f>IF(Inputs!G34="","",Inputs!G34)</f>
        <v>6880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33999</v>
      </c>
      <c r="D35" s="77">
        <f t="shared" ref="D35" si="20">IF(OR(D33="",D34=""),"",D33+D34)</f>
        <v>16614</v>
      </c>
      <c r="E35" s="77">
        <f t="shared" ref="E35" si="21">IF(OR(E33="",E34=""),"",E33+E34)</f>
        <v>14909</v>
      </c>
      <c r="F35" s="77">
        <f t="shared" ref="F35" si="22">IF(OR(F33="",F34=""),"",F33+F34)</f>
        <v>306879</v>
      </c>
      <c r="G35" s="77">
        <f t="shared" ref="G35" si="23">IF(OR(G33="",G34=""),"",G33+G34)</f>
        <v>10105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3027292</v>
      </c>
      <c r="D36" s="208">
        <f>IF(Inputs!D35="","",Inputs!D35)</f>
        <v>2824568</v>
      </c>
      <c r="E36" s="208">
        <f>IF(Inputs!E35="","",Inputs!E35)</f>
        <v>2735259</v>
      </c>
      <c r="F36" s="208">
        <f>IF(Inputs!F35="","",Inputs!F35)</f>
        <v>250534</v>
      </c>
      <c r="G36" s="208">
        <f>IF(Inputs!G35="","",Inputs!G35)</f>
        <v>13930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3990</v>
      </c>
      <c r="D37" s="208">
        <f>IF(Inputs!D36="","",Inputs!D36)</f>
        <v>7297</v>
      </c>
      <c r="E37" s="208">
        <f>IF(Inputs!E36="","",Inputs!E36)</f>
        <v>1498</v>
      </c>
      <c r="F37" s="208">
        <f>IF(Inputs!F36="","",Inputs!F36)</f>
        <v>2853</v>
      </c>
      <c r="G37" s="208">
        <f>IF(Inputs!G36="","",Inputs!G36)</f>
        <v>696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3045410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624759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0.19508482470840757</v>
      </c>
      <c r="D40" s="160">
        <f>IF(D39="","",D21/D39)</f>
        <v>2.9562322590829266E-2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0.55541924442229906</v>
      </c>
      <c r="D42" s="161">
        <f t="shared" si="33"/>
        <v>0.5842954491724951</v>
      </c>
      <c r="E42" s="161">
        <f t="shared" si="33"/>
        <v>0.55491457230760188</v>
      </c>
      <c r="F42" s="161">
        <f t="shared" si="33"/>
        <v>0.56373982612619067</v>
      </c>
      <c r="G42" s="161">
        <f t="shared" si="33"/>
        <v>0.56638778894348862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0.35722663926689097</v>
      </c>
      <c r="D43" s="157">
        <f t="shared" ref="D43:M43" si="34">IF(D6="","",(D10-MAX(D12,0))/D6)</f>
        <v>0.39199578609161378</v>
      </c>
      <c r="E43" s="157">
        <f t="shared" si="34"/>
        <v>0.39871532034748752</v>
      </c>
      <c r="F43" s="157">
        <f t="shared" si="34"/>
        <v>0.2682542237658872</v>
      </c>
      <c r="G43" s="157">
        <f t="shared" si="34"/>
        <v>0.28671564736786559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9.4776814590380575E-3</v>
      </c>
      <c r="D44" s="157">
        <f t="shared" ref="D44:M44" si="35">IF(D6="","",(MAX(D14,0)+MAX(D15,0))/D6)</f>
        <v>8.0185920734834829E-3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6.208277497005729E-4</v>
      </c>
      <c r="D46" s="157">
        <f t="shared" ref="D46:M46" si="37">IF(D6="","",MAX(D17,0)/D6)</f>
        <v>5.9655559994967644E-4</v>
      </c>
      <c r="E46" s="157">
        <f t="shared" si="37"/>
        <v>9.1173366750378854E-4</v>
      </c>
      <c r="F46" s="157">
        <f t="shared" si="37"/>
        <v>1.5539134531893119E-3</v>
      </c>
      <c r="G46" s="157">
        <f t="shared" si="37"/>
        <v>2.1613384974143452E-4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1.8148224946381651E-3</v>
      </c>
      <c r="D47" s="157">
        <f>IF(D6="","",MAX(D18,0)/(1-Fin_Analysis!$I$84)/D6)</f>
        <v>5.9448182613756862E-4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7.5440784607433226E-2</v>
      </c>
      <c r="D48" s="157">
        <f t="shared" si="38"/>
        <v>1.449913523632035E-2</v>
      </c>
      <c r="E48" s="157">
        <f t="shared" si="38"/>
        <v>4.5458373677406808E-2</v>
      </c>
      <c r="F48" s="157">
        <f t="shared" si="38"/>
        <v>0.16645203665473277</v>
      </c>
      <c r="G48" s="157">
        <f t="shared" si="38"/>
        <v>0.14668042983890439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0.11203000770618693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9.7865479067953717E-2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0.1751627786077426</v>
      </c>
      <c r="D53" s="161">
        <f t="shared" ref="D53:M53" si="41">IF(D36="","",(D27-D36)/D27)</f>
        <v>0.21060858391144721</v>
      </c>
      <c r="E53" s="161">
        <f t="shared" si="41"/>
        <v>0.21276976631405353</v>
      </c>
      <c r="F53" s="161">
        <f t="shared" si="41"/>
        <v>0.84857949978181479</v>
      </c>
      <c r="G53" s="161">
        <f t="shared" si="41"/>
        <v>0.98878596160178012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3.5848407306097236</v>
      </c>
      <c r="D54" s="162">
        <f t="shared" ref="D54:M54" si="42">IF(OR(D21="",D35=""),"",IF(D35&lt;=0,"-",D21/D35))</f>
        <v>1.2624894667148188</v>
      </c>
      <c r="E54" s="162">
        <f t="shared" si="42"/>
        <v>5.3942585015762292</v>
      </c>
      <c r="F54" s="162">
        <f t="shared" si="42"/>
        <v>0.92325313885928983</v>
      </c>
      <c r="G54" s="162">
        <f t="shared" si="42"/>
        <v>20.080950024740229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8.2293384530812835E-3</v>
      </c>
      <c r="D55" s="157">
        <f t="shared" ref="D55:M55" si="43">IF(D21="","",IF(MAX(D17,0)&lt;=0,"-",D17/D21))</f>
        <v>4.1144219308700831E-2</v>
      </c>
      <c r="E55" s="157">
        <f t="shared" si="43"/>
        <v>2.0056451512626985E-2</v>
      </c>
      <c r="F55" s="157">
        <f t="shared" si="43"/>
        <v>9.3355027935918562E-3</v>
      </c>
      <c r="G55" s="157">
        <f t="shared" si="43"/>
        <v>1.4735016114883846E-3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4.8753437887604978</v>
      </c>
      <c r="D56" s="163">
        <f t="shared" si="44"/>
        <v>4.3002657471877468</v>
      </c>
      <c r="E56" s="163">
        <f t="shared" si="44"/>
        <v>4.5777102916081001</v>
      </c>
      <c r="F56" s="163">
        <f t="shared" si="44"/>
        <v>1.0336141100462377</v>
      </c>
      <c r="G56" s="163">
        <f t="shared" si="44"/>
        <v>0.85856731736300362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3" zoomScaleNormal="100" workbookViewId="0">
      <selection activeCell="B96" sqref="B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2140480.9786162772</v>
      </c>
      <c r="E6" s="56">
        <f>1-D6/D3</f>
        <v>0.29293871267909499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1.7323081471606914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2385307</v>
      </c>
      <c r="D11" s="207">
        <f>Inputs!D40</f>
        <v>0.9</v>
      </c>
      <c r="E11" s="88">
        <f t="shared" ref="E11:E22" si="0">C11*D11</f>
        <v>2146776.3000000003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180994</v>
      </c>
      <c r="D13" s="207">
        <f>Inputs!D42</f>
        <v>0.6</v>
      </c>
      <c r="E13" s="88">
        <f t="shared" si="0"/>
        <v>108596.4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253051</v>
      </c>
      <c r="D15" s="207">
        <f>Inputs!D44</f>
        <v>0.5</v>
      </c>
      <c r="E15" s="88">
        <f t="shared" si="0"/>
        <v>126525.5</v>
      </c>
      <c r="F15" s="113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158110</v>
      </c>
      <c r="D18" s="207">
        <f>Inputs!D47</f>
        <v>0.5</v>
      </c>
      <c r="E18" s="88">
        <f t="shared" si="0"/>
        <v>79055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5912</v>
      </c>
      <c r="D21" s="207">
        <f>Inputs!D50</f>
        <v>0.9</v>
      </c>
      <c r="E21" s="88">
        <f t="shared" si="0"/>
        <v>5320.8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4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4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4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4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3"/>
      <c r="G28" s="87"/>
      <c r="H28" s="78" t="s">
        <v>16</v>
      </c>
      <c r="I28" s="215">
        <f>Inputs!C70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279425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126127</v>
      </c>
      <c r="D31" s="207">
        <f>Inputs!D53</f>
        <v>0.6</v>
      </c>
      <c r="E31" s="88">
        <f t="shared" ref="E31:E42" si="1">C31*D31</f>
        <v>75676.2</v>
      </c>
      <c r="F31" s="113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Inputs!C57</f>
        <v>1500</v>
      </c>
      <c r="D35" s="207">
        <f>Inputs!D57</f>
        <v>0.1</v>
      </c>
      <c r="E35" s="88">
        <f t="shared" si="1"/>
        <v>150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193915</v>
      </c>
      <c r="D38" s="207">
        <f>Inputs!D60</f>
        <v>0.1</v>
      </c>
      <c r="E38" s="88">
        <f t="shared" si="1"/>
        <v>19391.5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9704</v>
      </c>
      <c r="D40" s="207">
        <f>Inputs!D62</f>
        <v>0.05</v>
      </c>
      <c r="E40" s="88">
        <f t="shared" si="1"/>
        <v>485.20000000000005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76124</v>
      </c>
      <c r="D41" s="207">
        <f>Inputs!D63</f>
        <v>0.9</v>
      </c>
      <c r="E41" s="88">
        <f t="shared" si="1"/>
        <v>68511.600000000006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6">
        <f>Inputs!C75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33999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2664732</v>
      </c>
      <c r="D62" s="108">
        <f t="shared" si="2"/>
        <v>0.80562559386835164</v>
      </c>
      <c r="E62" s="119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1615585</v>
      </c>
      <c r="D74" s="218"/>
      <c r="E74" s="205">
        <f>H74</f>
        <v>1615585</v>
      </c>
      <c r="F74" s="218"/>
      <c r="H74" s="205">
        <f>C74</f>
        <v>1615585</v>
      </c>
      <c r="I74" s="218"/>
      <c r="K74" s="24"/>
    </row>
    <row r="75" spans="1:11" ht="15" customHeight="1" x14ac:dyDescent="0.4">
      <c r="B75" s="105" t="s">
        <v>109</v>
      </c>
      <c r="C75" s="77">
        <f>Data!C8</f>
        <v>897327</v>
      </c>
      <c r="D75" s="164">
        <f>C75/$C$74</f>
        <v>0.55541924442229906</v>
      </c>
      <c r="E75" s="186">
        <f>E74*F75</f>
        <v>897327</v>
      </c>
      <c r="F75" s="165">
        <f>I75</f>
        <v>0.55541924442229906</v>
      </c>
      <c r="H75" s="205">
        <f>D75*H74</f>
        <v>897327</v>
      </c>
      <c r="I75" s="165">
        <f>H75/$H$74</f>
        <v>0.55541924442229906</v>
      </c>
      <c r="K75" s="24"/>
    </row>
    <row r="76" spans="1:11" ht="15" customHeight="1" x14ac:dyDescent="0.4">
      <c r="B76" s="35" t="s">
        <v>96</v>
      </c>
      <c r="C76" s="166">
        <f>C74-C75</f>
        <v>718258</v>
      </c>
      <c r="D76" s="219"/>
      <c r="E76" s="167">
        <f>E74-E75</f>
        <v>718258</v>
      </c>
      <c r="F76" s="219"/>
      <c r="H76" s="167">
        <f>H74-H75</f>
        <v>718258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577130</v>
      </c>
      <c r="D77" s="164">
        <f>C77/$C$74</f>
        <v>0.35722663926689097</v>
      </c>
      <c r="E77" s="186">
        <f>E74*F77</f>
        <v>577130</v>
      </c>
      <c r="F77" s="165">
        <f>I77</f>
        <v>0.35722663926689097</v>
      </c>
      <c r="H77" s="205">
        <f>D77*H74</f>
        <v>577130</v>
      </c>
      <c r="I77" s="165">
        <f>H77/$H$74</f>
        <v>0.35722663926689097</v>
      </c>
      <c r="K77" s="24"/>
    </row>
    <row r="78" spans="1:11" ht="15" customHeight="1" x14ac:dyDescent="0.4">
      <c r="B78" s="35" t="s">
        <v>97</v>
      </c>
      <c r="C78" s="166">
        <f>C76-C77</f>
        <v>141128</v>
      </c>
      <c r="D78" s="219"/>
      <c r="E78" s="167">
        <f>E76-E77</f>
        <v>141128</v>
      </c>
      <c r="F78" s="219"/>
      <c r="H78" s="167">
        <f>H76-H77</f>
        <v>141128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1003</v>
      </c>
      <c r="D79" s="164">
        <f>C79/$C$74</f>
        <v>6.208277497005729E-4</v>
      </c>
      <c r="E79" s="186">
        <f>E74*F79</f>
        <v>1003.0000000000001</v>
      </c>
      <c r="F79" s="165">
        <f t="shared" ref="F79:F84" si="3">I79</f>
        <v>6.208277497005729E-4</v>
      </c>
      <c r="H79" s="205">
        <f>C79</f>
        <v>1003</v>
      </c>
      <c r="I79" s="165">
        <f>H79/$H$74</f>
        <v>6.208277497005729E-4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9.4776814590380575E-3</v>
      </c>
      <c r="E80" s="186">
        <f>E74*F80</f>
        <v>15312</v>
      </c>
      <c r="F80" s="165">
        <f t="shared" si="3"/>
        <v>9.4776814590380575E-3</v>
      </c>
      <c r="H80" s="205">
        <f>H74*D80</f>
        <v>15312</v>
      </c>
      <c r="I80" s="165">
        <f>H80/$H$74</f>
        <v>9.4776814590380575E-3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1.3611168709786237E-3</v>
      </c>
      <c r="E82" s="186">
        <f>E74*F82</f>
        <v>2199</v>
      </c>
      <c r="F82" s="165">
        <f t="shared" si="3"/>
        <v>1.3611168709786237E-3</v>
      </c>
      <c r="H82" s="205">
        <f>H74*D82</f>
        <v>2199</v>
      </c>
      <c r="I82" s="165">
        <f>H82/$H$74</f>
        <v>1.3611168709786237E-3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122614</v>
      </c>
      <c r="D83" s="169">
        <f>C83/$C$74</f>
        <v>7.5894490231092765E-2</v>
      </c>
      <c r="E83" s="170">
        <f>E78-E79-E80-E81-E82</f>
        <v>122614</v>
      </c>
      <c r="F83" s="169">
        <f>E83/E74</f>
        <v>7.5894490231092765E-2</v>
      </c>
      <c r="H83" s="170">
        <f>H78-H79-H80-H81-H82</f>
        <v>122614</v>
      </c>
      <c r="I83" s="169">
        <f>H83/$H$74</f>
        <v>7.5894490231092765E-2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91960.5</v>
      </c>
      <c r="D85" s="171">
        <f>C85/$C$74</f>
        <v>5.6920867673319574E-2</v>
      </c>
      <c r="E85" s="172">
        <f>E83*(1-F84)</f>
        <v>91960.5</v>
      </c>
      <c r="F85" s="171">
        <f>E85/E74</f>
        <v>5.6920867673319574E-2</v>
      </c>
      <c r="H85" s="172">
        <f>H83*(1-I84)</f>
        <v>91960.5</v>
      </c>
      <c r="I85" s="171">
        <f>H85/$H$74</f>
        <v>5.6920867673319574E-2</v>
      </c>
      <c r="K85" s="24"/>
    </row>
    <row r="86" spans="1:11" ht="15" customHeight="1" x14ac:dyDescent="0.4">
      <c r="B86" s="87" t="s">
        <v>172</v>
      </c>
      <c r="C86" s="173">
        <f>C85*Data!C4/Common_Shares</f>
        <v>6.8970366378704198E-2</v>
      </c>
      <c r="D86" s="218"/>
      <c r="E86" s="174">
        <f>E85*Data!C4/Common_Shares</f>
        <v>6.8970366378704198E-2</v>
      </c>
      <c r="F86" s="218"/>
      <c r="H86" s="174">
        <f>H85*Data!C4/Common_Shares</f>
        <v>6.8970366378704198E-2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3.8363070176426914E-2</v>
      </c>
      <c r="D87" s="218"/>
      <c r="E87" s="239">
        <f>E86*Exchange_Rate/Dashboard!G3</f>
        <v>3.8363070176426914E-2</v>
      </c>
      <c r="F87" s="218"/>
      <c r="H87" s="239">
        <f>H86*Exchange_Rate/Dashboard!G3</f>
        <v>3.8363070176426914E-2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0.1178</v>
      </c>
      <c r="D88" s="171">
        <f>C88/C86</f>
        <v>1.7079799076777531</v>
      </c>
      <c r="E88" s="204">
        <f>H88</f>
        <v>0.1178</v>
      </c>
      <c r="F88" s="171">
        <f>E88/E86</f>
        <v>1.7079799076777531</v>
      </c>
      <c r="H88" s="176">
        <f>Inputs!F6</f>
        <v>0.1178</v>
      </c>
      <c r="I88" s="171">
        <f>H88/H86</f>
        <v>1.7079799076777531</v>
      </c>
      <c r="K88" s="24"/>
    </row>
    <row r="89" spans="1:11" ht="15" customHeight="1" x14ac:dyDescent="0.4">
      <c r="B89" s="87" t="s">
        <v>249</v>
      </c>
      <c r="C89" s="165">
        <f>C88*Exchange_Rate/Dashboard!G3</f>
        <v>6.5523353058168796E-2</v>
      </c>
      <c r="D89" s="218"/>
      <c r="E89" s="165">
        <f>E88*Exchange_Rate/Dashboard!G3</f>
        <v>6.5523353058168796E-2</v>
      </c>
      <c r="F89" s="218"/>
      <c r="H89" s="165">
        <f>H88*Exchange_Rate/Dashboard!G3</f>
        <v>6.5523353058168796E-2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1.1563151236742335</v>
      </c>
      <c r="H93" s="87" t="s">
        <v>229</v>
      </c>
      <c r="I93" s="146">
        <f>FV(H87,D93,0,-(H86/C93))</f>
        <v>1.1563151236742335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2.247127201554473</v>
      </c>
      <c r="H94" s="87" t="s">
        <v>230</v>
      </c>
      <c r="I94" s="146">
        <f>FV(H89,D93,0,-(H88/C93))</f>
        <v>2.247127201554473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1175150.8958309535</v>
      </c>
      <c r="E97" s="124">
        <f>PV(C94,D93,0,-F93)*Exchange_Rate</f>
        <v>0.62035397604883169</v>
      </c>
      <c r="F97" s="124">
        <f>PV(C93,D93,0,-F93)*Exchange_Rate</f>
        <v>0.88136306170283252</v>
      </c>
      <c r="H97" s="124">
        <f>PV(C93,D93,0,-I93)*Exchange_Rate</f>
        <v>0.88136306170283252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4305.5185198783875</v>
      </c>
      <c r="E98" s="222"/>
      <c r="F98" s="222"/>
      <c r="H98" s="124">
        <f>C98*Data!$C$4/Common_Shares</f>
        <v>3.2291384862664797E-3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2144786.4971361556</v>
      </c>
      <c r="E99" s="223"/>
      <c r="F99" s="148">
        <f>H99*0.85</f>
        <v>1.3673012210116466</v>
      </c>
      <c r="H99" s="148">
        <f>C99*Data!$C$4/Common_Shares</f>
        <v>1.6085896717784078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3315631.8744472307</v>
      </c>
      <c r="E100" s="110">
        <f>MAX(E97-H98+F99,0)</f>
        <v>1.9844260585742117</v>
      </c>
      <c r="F100" s="110">
        <f>MAX(F97-H98+F99,0)</f>
        <v>2.2454351442282126</v>
      </c>
      <c r="H100" s="110">
        <f>MAX(C100*Data!$C$4/Common_Shares,0)</f>
        <v>2.4867235949949738</v>
      </c>
      <c r="I100" s="110">
        <f>H100*1.25</f>
        <v>3.1084044937437172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2283731.7353092115</v>
      </c>
      <c r="E103" s="110">
        <f>PV(C94,D93,0,-F94)*Exchange_Rate</f>
        <v>1.2055660828358541</v>
      </c>
      <c r="F103" s="124">
        <f>PV(C93,D93,0,-F94)*Exchange_Rate</f>
        <v>1.7127985873820852</v>
      </c>
      <c r="H103" s="124">
        <f>PV(C93,D93,0,-I94)*Exchange_Rate</f>
        <v>1.7127985873820852</v>
      </c>
      <c r="I103" s="110">
        <f>H103*1.25</f>
        <v>2.1409982342276064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2638822.8175930097</v>
      </c>
      <c r="E106" s="110">
        <f>(E100+E103)/2</f>
        <v>1.594996070705033</v>
      </c>
      <c r="F106" s="124">
        <f>(F100+F103)/2</f>
        <v>1.9791168658051488</v>
      </c>
      <c r="H106" s="124">
        <f>(H100+H103)/2</f>
        <v>2.0997610911885296</v>
      </c>
      <c r="I106" s="110">
        <f>H106*1.25</f>
        <v>2.624701363985662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