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9FED325-68B6-49E7-A8DA-9FC3F24E51D3}" xr6:coauthVersionLast="47" xr6:coauthVersionMax="47" xr10:uidLastSave="{00000000-0000-0000-0000-000000000000}"/>
  <bookViews>
    <workbookView xWindow="735" yWindow="735" windowWidth="12690" windowHeight="764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H89" i="3" l="1"/>
  <c r="E89" i="3"/>
  <c r="C89" i="3"/>
  <c r="H87" i="3"/>
  <c r="E87" i="3"/>
  <c r="C87" i="3"/>
  <c r="F6" i="4"/>
  <c r="I46" i="2" l="1"/>
  <c r="J46" i="2"/>
  <c r="K46" i="2"/>
  <c r="L46" i="2"/>
  <c r="M46" i="2"/>
  <c r="I21" i="2"/>
  <c r="I55" i="2" s="1"/>
  <c r="J21" i="2"/>
  <c r="J55" i="2" s="1"/>
  <c r="K21" i="2"/>
  <c r="K55" i="2" s="1"/>
  <c r="L21" i="2"/>
  <c r="L55" i="2" s="1"/>
  <c r="M21" i="2"/>
  <c r="M55" i="2" s="1"/>
  <c r="I19" i="2"/>
  <c r="J19" i="2"/>
  <c r="K19" i="2"/>
  <c r="L19" i="2"/>
  <c r="M19" i="2"/>
  <c r="D42" i="4"/>
  <c r="D48" i="4" s="1"/>
  <c r="D63" i="4"/>
  <c r="D51" i="4"/>
  <c r="D61" i="4"/>
  <c r="D60" i="4"/>
  <c r="D59" i="4"/>
  <c r="D55" i="4"/>
  <c r="D47" i="4"/>
  <c r="D54" i="4"/>
  <c r="D53" i="4"/>
  <c r="D52" i="4"/>
  <c r="D50" i="4"/>
  <c r="D45" i="4" l="1"/>
  <c r="H88" i="3" l="1"/>
  <c r="C88" i="3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l="1"/>
  <c r="E36" i="2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H46" i="2" s="1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F46" i="2" s="1"/>
  <c r="J6" i="2"/>
  <c r="I7" i="2" s="1"/>
  <c r="K6" i="2"/>
  <c r="J7" i="2" s="1"/>
  <c r="L6" i="2"/>
  <c r="L11" i="2" s="1"/>
  <c r="M6" i="2"/>
  <c r="M44" i="2" s="1"/>
  <c r="C6" i="2"/>
  <c r="C46" i="2" s="1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79" i="3" s="1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G46" i="2" l="1"/>
  <c r="E46" i="2"/>
  <c r="D46" i="2"/>
  <c r="H21" i="2"/>
  <c r="H55" i="2" s="1"/>
  <c r="H19" i="2"/>
  <c r="C77" i="3"/>
  <c r="H11" i="2"/>
  <c r="D11" i="2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F55" i="2" s="1"/>
  <c r="E9" i="2"/>
  <c r="E13" i="2" s="1"/>
  <c r="E21" i="2" s="1"/>
  <c r="E55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54" i="2"/>
  <c r="I13" i="2"/>
  <c r="H44" i="2"/>
  <c r="K43" i="2"/>
  <c r="M11" i="2"/>
  <c r="K54" i="2"/>
  <c r="J43" i="2"/>
  <c r="L43" i="2"/>
  <c r="E7" i="2"/>
  <c r="C11" i="2"/>
  <c r="L54" i="2"/>
  <c r="D9" i="2"/>
  <c r="D13" i="2" s="1"/>
  <c r="D21" i="2" s="1"/>
  <c r="D55" i="2" s="1"/>
  <c r="H7" i="2"/>
  <c r="J54" i="2"/>
  <c r="C44" i="2"/>
  <c r="F44" i="2"/>
  <c r="H43" i="2"/>
  <c r="H9" i="2"/>
  <c r="H13" i="2" s="1"/>
  <c r="K11" i="2"/>
  <c r="E44" i="2"/>
  <c r="I11" i="2"/>
  <c r="G7" i="2"/>
  <c r="G9" i="2"/>
  <c r="G13" i="2" s="1"/>
  <c r="G21" i="2" s="1"/>
  <c r="G55" i="2" s="1"/>
  <c r="K7" i="2"/>
  <c r="C9" i="2"/>
  <c r="C13" i="2" s="1"/>
  <c r="C21" i="2" s="1"/>
  <c r="C55" i="2" s="1"/>
  <c r="M9" i="2"/>
  <c r="L9" i="2"/>
  <c r="I9" i="2"/>
  <c r="D7" i="2"/>
  <c r="K9" i="2"/>
  <c r="J9" i="2"/>
  <c r="F102" i="3"/>
  <c r="H102" i="3"/>
  <c r="C93" i="3"/>
  <c r="M20" i="2"/>
  <c r="D19" i="2" l="1"/>
  <c r="G19" i="2"/>
  <c r="F19" i="2"/>
  <c r="E19" i="2"/>
  <c r="C19" i="2"/>
  <c r="G54" i="2"/>
  <c r="E54" i="2"/>
  <c r="F54" i="2"/>
  <c r="I54" i="2"/>
  <c r="H54" i="2"/>
  <c r="D54" i="2"/>
  <c r="E40" i="2"/>
  <c r="F40" i="2"/>
  <c r="D40" i="2"/>
  <c r="E88" i="3" l="1"/>
  <c r="I94" i="3" l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F94" i="3" l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E74" i="3" s="1"/>
  <c r="C75" i="3"/>
  <c r="H79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20" i="2"/>
  <c r="L20" i="2"/>
  <c r="I20" i="2" l="1"/>
  <c r="J20" i="2"/>
  <c r="D20" i="2"/>
  <c r="G3" i="2"/>
  <c r="H53" i="2"/>
  <c r="D77" i="3"/>
  <c r="D53" i="2"/>
  <c r="E24" i="2"/>
  <c r="D81" i="3"/>
  <c r="C76" i="3"/>
  <c r="C78" i="3" s="1"/>
  <c r="D82" i="3"/>
  <c r="H82" i="3" s="1"/>
  <c r="D75" i="3"/>
  <c r="D80" i="3"/>
  <c r="H80" i="3" s="1"/>
  <c r="D79" i="3"/>
  <c r="C28" i="3"/>
  <c r="C28" i="2" s="1"/>
  <c r="G24" i="2" l="1"/>
  <c r="J48" i="2"/>
  <c r="D24" i="2"/>
  <c r="L48" i="2"/>
  <c r="L24" i="2"/>
  <c r="L23" i="2" s="1"/>
  <c r="H20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D48" i="2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I83" i="3"/>
  <c r="H85" i="3"/>
  <c r="I22" i="3"/>
  <c r="C26" i="1" l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F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78" i="3" l="1"/>
  <c r="E83" i="3" s="1"/>
  <c r="F83" i="3" l="1"/>
  <c r="E85" i="3"/>
  <c r="E86" i="3" l="1"/>
  <c r="F85" i="3"/>
  <c r="D29" i="1"/>
  <c r="F93" i="3" l="1"/>
  <c r="F88" i="3"/>
  <c r="E97" i="3" l="1"/>
  <c r="F97" i="3"/>
  <c r="F100" i="3" l="1"/>
  <c r="F106" i="3" s="1"/>
  <c r="E100" i="3"/>
  <c r="E106" i="3" s="1"/>
  <c r="C29" i="1" s="1"/>
  <c r="F29" i="1" l="1"/>
  <c r="C106" i="3"/>
</calcChain>
</file>

<file path=xl/sharedStrings.xml><?xml version="1.0" encoding="utf-8"?>
<sst xmlns="http://schemas.openxmlformats.org/spreadsheetml/2006/main" count="349" uniqueCount="250">
  <si>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</si>
  <si>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</si>
  <si>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</si>
  <si>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</si>
  <si>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</si>
  <si>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</si>
  <si>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</si>
  <si>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</si>
  <si>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</si>
  <si>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</si>
  <si>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</si>
  <si>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</si>
  <si>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</si>
  <si>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</si>
  <si>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</si>
  <si>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</si>
  <si>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</si>
  <si>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</si>
  <si>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</si>
  <si>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</si>
  <si>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</si>
  <si>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</si>
  <si>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</si>
  <si>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</si>
  <si>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</si>
  <si>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</si>
  <si>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</si>
  <si>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</si>
  <si>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</si>
  <si>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</si>
  <si>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</si>
  <si>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</si>
  <si>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</si>
  <si>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</si>
  <si>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</si>
  <si>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</si>
  <si>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</si>
  <si>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</si>
  <si>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</si>
  <si>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</si>
  <si>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</si>
  <si>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</si>
  <si>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</si>
  <si>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</si>
  <si>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</si>
  <si>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</si>
  <si>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</si>
  <si>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</si>
  <si>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</si>
  <si>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</si>
  <si>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</si>
  <si>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</si>
  <si>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</si>
  <si>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</si>
  <si>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</si>
  <si>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</si>
  <si>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</si>
  <si>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</si>
  <si>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</si>
  <si>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</si>
  <si>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</si>
  <si>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</si>
  <si>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</si>
  <si>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</si>
  <si>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</si>
  <si>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</si>
  <si>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</si>
  <si>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</si>
  <si>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</si>
  <si>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</si>
  <si>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</si>
  <si>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</si>
  <si>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</si>
  <si>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</si>
  <si>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</si>
  <si>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</si>
  <si>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</si>
  <si>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</si>
  <si>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</si>
  <si>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</si>
  <si>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</si>
  <si>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</si>
  <si>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</si>
  <si>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</si>
  <si>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</si>
  <si>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</si>
  <si>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</si>
  <si>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</si>
  <si>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</si>
  <si>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</si>
  <si>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</si>
  <si>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</si>
  <si>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</si>
  <si>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</si>
  <si>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</si>
  <si>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</si>
  <si>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</si>
  <si>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</si>
  <si>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</si>
  <si>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</si>
  <si>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</si>
  <si>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</si>
  <si>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</si>
  <si>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</si>
  <si>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</si>
  <si>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</si>
  <si>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</si>
  <si>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</si>
  <si>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</si>
  <si>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</si>
  <si>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</si>
  <si>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</si>
  <si>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</si>
  <si>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</si>
  <si>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</si>
  <si>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</si>
  <si>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</si>
  <si>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</si>
  <si>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</si>
  <si>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</si>
  <si>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</si>
  <si>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</si>
  <si>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</si>
  <si>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</si>
  <si>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</si>
  <si>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</si>
  <si>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</si>
  <si>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</si>
  <si>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</si>
  <si>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</si>
  <si>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</si>
  <si>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</si>
  <si>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</si>
  <si>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</si>
  <si>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</si>
  <si>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</si>
  <si>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</si>
  <si>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</si>
  <si>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</si>
  <si>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</si>
  <si>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</si>
  <si>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</si>
  <si>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</si>
  <si>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</si>
  <si>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</si>
  <si>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</si>
  <si>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</si>
  <si>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</si>
  <si>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</si>
  <si>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</si>
  <si>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</si>
  <si>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</si>
  <si>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</si>
  <si>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</si>
  <si>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</si>
  <si>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</si>
  <si>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</si>
  <si>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</si>
  <si>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</si>
  <si>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</si>
  <si>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</si>
  <si>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</si>
  <si>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</si>
  <si>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</si>
  <si>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</si>
  <si>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</si>
  <si>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</si>
  <si>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</si>
  <si>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</si>
  <si>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</si>
  <si>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</si>
  <si>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</si>
  <si>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</si>
  <si>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</si>
  <si>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</si>
  <si>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</si>
  <si>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</si>
  <si>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</si>
  <si>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</si>
  <si>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</si>
  <si>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</si>
  <si>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</si>
  <si>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</si>
  <si>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</si>
  <si>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</si>
  <si>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</si>
  <si>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</si>
  <si>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</si>
  <si>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</si>
  <si>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</si>
  <si>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</si>
  <si>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</si>
  <si>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</si>
  <si>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</si>
  <si>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</si>
  <si>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</si>
  <si>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</si>
  <si>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</si>
  <si>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</si>
  <si>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</si>
  <si>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</si>
  <si>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</si>
  <si>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</si>
  <si>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</si>
  <si>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</si>
  <si>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</si>
  <si>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</si>
  <si>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</si>
  <si>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</si>
  <si>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</si>
  <si>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</si>
  <si>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</si>
  <si>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</si>
  <si>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</si>
  <si>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</si>
  <si>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</si>
  <si>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</si>
  <si>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</si>
  <si>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</si>
  <si>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</si>
  <si>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</si>
  <si>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</si>
  <si>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</si>
  <si>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</si>
  <si>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</si>
  <si>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</si>
  <si>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</si>
  <si>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</si>
  <si>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</si>
  <si>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</si>
  <si>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</si>
  <si>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</si>
  <si>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</si>
  <si>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</si>
  <si>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</si>
  <si>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</si>
  <si>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</si>
  <si>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</si>
  <si>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</si>
  <si>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</si>
  <si>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</si>
  <si>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</si>
  <si>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</si>
  <si>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9959.HK</t>
    <phoneticPr fontId="20" type="noConversion"/>
  </si>
  <si>
    <t>聯易融科技－Ｗ</t>
    <phoneticPr fontId="20" type="noConversion"/>
  </si>
  <si>
    <t>C0008</t>
    <phoneticPr fontId="20" type="noConversion"/>
  </si>
  <si>
    <t>CNY</t>
  </si>
  <si>
    <t>CN</t>
  </si>
  <si>
    <t>Avg</t>
  </si>
  <si>
    <t>D/P Dividend Yield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</si>
</sst>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DengXian"/>
      <family val="1"/>
      <charset val="134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6" fillId="12" borderId="0" xfId="0" quotePrefix="1" applyFont="1" applyFill="1" applyAlignment="1">
      <alignment horizontal="center"/>
    </xf>
    <xf numFmtId="3" fontId="1" fillId="12" borderId="3" xfId="0" applyNumberFormat="1" applyFont="1" applyFill="1" applyBorder="1" applyAlignment="1">
      <alignment horizontal="right"/>
    </xf>
    <xf numFmtId="10" fontId="1" fillId="12" borderId="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20" sqref="G20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9959.HK : 聯易融科技－Ｗ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5" t="str">
        <f>Inputs!C4</f>
        <v>9959.HK</v>
      </c>
      <c r="D3" s="246"/>
      <c r="E3" s="87"/>
      <c r="F3" s="3" t="s">
        <v>1</v>
      </c>
      <c r="G3" s="133">
        <v>1.7400000095367432</v>
      </c>
      <c r="H3" s="135" t="s">
        <v>2</v>
      </c>
    </row>
    <row r="4" spans="1:10" ht="15.75" customHeight="1" x14ac:dyDescent="0.4">
      <c r="B4" s="35" t="s">
        <v>212</v>
      </c>
      <c r="C4" s="247" t="str">
        <f>Inputs!C5</f>
        <v>聯易融科技－Ｗ</v>
      </c>
      <c r="D4" s="248"/>
      <c r="E4" s="87"/>
      <c r="F4" s="3" t="s">
        <v>3</v>
      </c>
      <c r="G4" s="251">
        <f>Inputs!C10</f>
        <v>2284983948</v>
      </c>
      <c r="H4" s="251"/>
      <c r="I4" s="39"/>
    </row>
    <row r="5" spans="1:10" ht="15.75" customHeight="1" x14ac:dyDescent="0.4">
      <c r="B5" s="3" t="s">
        <v>175</v>
      </c>
      <c r="C5" s="249">
        <f>Inputs!C6</f>
        <v>45593</v>
      </c>
      <c r="D5" s="250"/>
      <c r="E5" s="34"/>
      <c r="F5" s="35" t="s">
        <v>102</v>
      </c>
      <c r="G5" s="243">
        <f>G3*G4/1000000</f>
        <v>3975.8720913113052</v>
      </c>
      <c r="H5" s="243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4" t="str">
        <f>Inputs!C11</f>
        <v>CNY</v>
      </c>
      <c r="H6" s="244"/>
      <c r="I6" s="38"/>
    </row>
    <row r="7" spans="1:10" ht="15.75" customHeight="1" x14ac:dyDescent="0.4">
      <c r="B7" s="86" t="s">
        <v>209</v>
      </c>
      <c r="C7" s="194" t="str">
        <f>Inputs!C8</f>
        <v>N</v>
      </c>
      <c r="D7" s="194" t="str">
        <f>Inputs!C9</f>
        <v>C0008</v>
      </c>
      <c r="E7" s="87"/>
      <c r="F7" s="35" t="s">
        <v>6</v>
      </c>
      <c r="G7" s="134">
        <v>1.0790773232777913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6.6000000000000003E-2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7.1999999999999995E-2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232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0.39325092997635303</v>
      </c>
      <c r="F20" s="87" t="s">
        <v>231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0.24326660244029483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9.5705744879944314E-3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0.57635255668591923</v>
      </c>
      <c r="F23" s="141" t="s">
        <v>204</v>
      </c>
      <c r="G23" s="183">
        <f>G3/(Data!C36*Data!C4/Common_Shares*Exchange_Rate)</f>
        <v>0.43432871705991183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-3.9710291673058125E-2</v>
      </c>
    </row>
    <row r="25" spans="1:8" ht="15.75" customHeight="1" x14ac:dyDescent="0.4">
      <c r="B25" s="138" t="s">
        <v>208</v>
      </c>
      <c r="C25" s="177">
        <f>Fin_Analysis!I82</f>
        <v>2.3716125582531654E-3</v>
      </c>
      <c r="F25" s="141" t="s">
        <v>188</v>
      </c>
      <c r="G25" s="177">
        <f>Fin_Analysis!I88</f>
        <v>-1.5617094502880811</v>
      </c>
    </row>
    <row r="26" spans="1:8" ht="15.75" customHeight="1" x14ac:dyDescent="0.4">
      <c r="B26" s="139" t="s">
        <v>187</v>
      </c>
      <c r="C26" s="177">
        <f>Fin_Analysis!I83</f>
        <v>-0.22481227614881466</v>
      </c>
      <c r="F26" s="142" t="s">
        <v>210</v>
      </c>
      <c r="G26" s="184">
        <f>Fin_Analysis!H88*Exchange_Rate/G3</f>
        <v>6.2015937779510956E-2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41" t="str">
        <f>Fin_Analysis!H96</f>
        <v>Base Case</v>
      </c>
      <c r="H28" s="241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1.2569717641094802</v>
      </c>
      <c r="D29" s="130">
        <f>IF(Fin_Analysis!C108="Profit",Fin_Analysis!I100,IF(Fin_Analysis!C108="Dividend",Fin_Analysis!I103,Fin_Analysis!I106))</f>
        <v>1.9426922665989239</v>
      </c>
      <c r="E29" s="87"/>
      <c r="F29" s="132">
        <f>IF(Fin_Analysis!C108="Profit",Fin_Analysis!F100,IF(Fin_Analysis!C108="Dividend",Fin_Analysis!F103,Fin_Analysis!F106))</f>
        <v>1.3867805724465831</v>
      </c>
      <c r="G29" s="242">
        <f>IF(Fin_Analysis!C108="Profit",Fin_Analysis!H100,IF(Fin_Analysis!C108="Dividend",Fin_Analysis!H103,Fin_Analysis!H106))</f>
        <v>1.554153813279139</v>
      </c>
      <c r="H29" s="242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12" sqref="F12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235</v>
      </c>
    </row>
    <row r="4" spans="1:6" ht="13.9" x14ac:dyDescent="0.4">
      <c r="B4" s="142" t="s">
        <v>211</v>
      </c>
      <c r="C4" s="195" t="s">
        <v>243</v>
      </c>
      <c r="F4" s="201" t="s">
        <v>227</v>
      </c>
    </row>
    <row r="5" spans="1:6" ht="13.9" x14ac:dyDescent="0.4">
      <c r="B5" s="142" t="s">
        <v>212</v>
      </c>
      <c r="C5" s="240" t="s">
        <v>244</v>
      </c>
      <c r="E5" s="231">
        <f>C18</f>
        <v>45291</v>
      </c>
      <c r="F5" s="232">
        <v>0.1</v>
      </c>
    </row>
    <row r="6" spans="1:6" ht="13.9" x14ac:dyDescent="0.4">
      <c r="B6" s="142" t="s">
        <v>175</v>
      </c>
      <c r="C6" s="196">
        <v>45593</v>
      </c>
      <c r="E6" s="233" t="s">
        <v>225</v>
      </c>
      <c r="F6" s="232">
        <f>F5</f>
        <v>0.1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236</v>
      </c>
      <c r="C8" s="198" t="s">
        <v>71</v>
      </c>
    </row>
    <row r="9" spans="1:6" ht="13.9" x14ac:dyDescent="0.4">
      <c r="B9" s="141" t="s">
        <v>237</v>
      </c>
      <c r="C9" s="199" t="s">
        <v>245</v>
      </c>
    </row>
    <row r="10" spans="1:6" ht="13.9" x14ac:dyDescent="0.4">
      <c r="B10" s="141" t="s">
        <v>238</v>
      </c>
      <c r="C10" s="200">
        <v>2284983948</v>
      </c>
    </row>
    <row r="11" spans="1:6" ht="13.9" x14ac:dyDescent="0.4">
      <c r="B11" s="141" t="s">
        <v>239</v>
      </c>
      <c r="C11" s="199" t="s">
        <v>246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</v>
      </c>
    </row>
    <row r="14" spans="1:6" ht="13.9" x14ac:dyDescent="0.4">
      <c r="B14" s="227" t="s">
        <v>241</v>
      </c>
      <c r="C14" s="228">
        <v>45473</v>
      </c>
    </row>
    <row r="15" spans="1:6" ht="13.9" x14ac:dyDescent="0.4">
      <c r="B15" s="227" t="s">
        <v>240</v>
      </c>
      <c r="C15" s="182" t="s">
        <v>247</v>
      </c>
    </row>
    <row r="16" spans="1:6" ht="13.9" x14ac:dyDescent="0.4">
      <c r="B16" s="234" t="s">
        <v>98</v>
      </c>
      <c r="C16" s="235">
        <v>0.25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867764</v>
      </c>
      <c r="D19" s="152">
        <v>924200</v>
      </c>
      <c r="E19" s="152">
        <v>1198013</v>
      </c>
      <c r="F19" s="152">
        <v>1028541</v>
      </c>
      <c r="G19" s="152">
        <v>699593</v>
      </c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341249</v>
      </c>
      <c r="D20" s="153">
        <v>149665</v>
      </c>
      <c r="E20" s="153">
        <v>270763</v>
      </c>
      <c r="F20" s="153">
        <v>398163</v>
      </c>
      <c r="G20" s="153">
        <v>336621</v>
      </c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345571</v>
      </c>
      <c r="D21" s="153">
        <v>398159</v>
      </c>
      <c r="E21" s="153">
        <v>356401</v>
      </c>
      <c r="F21" s="153">
        <v>124222</v>
      </c>
      <c r="G21" s="153">
        <v>94347</v>
      </c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>
        <v>134473</v>
      </c>
      <c r="D22" s="153">
        <v>105067</v>
      </c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>
        <v>365801</v>
      </c>
      <c r="D23" s="153">
        <v>351118</v>
      </c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>
        <v>134337</v>
      </c>
      <c r="D24" s="153">
        <v>170139</v>
      </c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>
        <v>-252904</v>
      </c>
      <c r="D25" s="153">
        <v>1593322</v>
      </c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8305</v>
      </c>
      <c r="D26" s="153">
        <v>30280</v>
      </c>
      <c r="E26" s="153">
        <v>135144</v>
      </c>
      <c r="F26" s="153">
        <v>140407</v>
      </c>
      <c r="G26" s="153">
        <v>108297</v>
      </c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2058</v>
      </c>
      <c r="D27" s="153">
        <v>8397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>
        <v>11098580</v>
      </c>
      <c r="E28" s="153">
        <v>11219637</v>
      </c>
      <c r="F28" s="153">
        <v>5753012</v>
      </c>
      <c r="G28" s="153">
        <v>3489602</v>
      </c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>
        <v>1937845</v>
      </c>
      <c r="E31" s="153">
        <v>2024596</v>
      </c>
      <c r="F31" s="153">
        <v>9408613</v>
      </c>
      <c r="G31" s="153">
        <v>6338479</v>
      </c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>
        <v>29983</v>
      </c>
      <c r="E32" s="153">
        <v>61277</v>
      </c>
      <c r="F32" s="153">
        <v>51229</v>
      </c>
      <c r="G32" s="153">
        <v>23195</v>
      </c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>
        <v>29464</v>
      </c>
      <c r="E33" s="153">
        <v>1195554</v>
      </c>
      <c r="F33" s="153">
        <v>2707794</v>
      </c>
      <c r="G33" s="153">
        <v>1053656</v>
      </c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>
        <v>29983</v>
      </c>
      <c r="E34" s="153">
        <v>61277</v>
      </c>
      <c r="F34" s="153">
        <v>51229</v>
      </c>
      <c r="G34" s="153">
        <v>23195</v>
      </c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>
        <v>9956528</v>
      </c>
      <c r="E35" s="153">
        <v>9722107</v>
      </c>
      <c r="F35" s="153">
        <v>-3323489</v>
      </c>
      <c r="G35" s="153">
        <v>-2590443</v>
      </c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>
        <v>9957299</v>
      </c>
      <c r="E36" s="153">
        <v>9714578</v>
      </c>
      <c r="F36" s="153">
        <v>-3329901</v>
      </c>
      <c r="G36" s="153">
        <v>-2595281</v>
      </c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>
        <v>4923071</v>
      </c>
      <c r="D40" s="60">
        <v>0.9</v>
      </c>
    </row>
    <row r="41" spans="2:13" ht="13.9" x14ac:dyDescent="0.4">
      <c r="B41" s="1" t="s">
        <v>146</v>
      </c>
      <c r="C41" s="59">
        <v>163001</v>
      </c>
      <c r="D41" s="60">
        <v>0.8</v>
      </c>
    </row>
    <row r="42" spans="2:13" ht="13.9" x14ac:dyDescent="0.4">
      <c r="B42" s="3" t="s">
        <v>121</v>
      </c>
      <c r="C42" s="59">
        <v>2576350</v>
      </c>
      <c r="D42" s="60">
        <f>D43</f>
        <v>0.6</v>
      </c>
    </row>
    <row r="43" spans="2:13" ht="13.9" x14ac:dyDescent="0.4">
      <c r="B43" s="3" t="s">
        <v>42</v>
      </c>
      <c r="C43" s="59">
        <v>924658</v>
      </c>
      <c r="D43" s="60">
        <v>0.6</v>
      </c>
    </row>
    <row r="44" spans="2:13" ht="13.9" x14ac:dyDescent="0.4">
      <c r="B44" s="3" t="s">
        <v>44</v>
      </c>
      <c r="C44" s="59">
        <v>43659</v>
      </c>
      <c r="D44" s="60">
        <v>0.5</v>
      </c>
    </row>
    <row r="45" spans="2:13" ht="13.9" x14ac:dyDescent="0.4">
      <c r="B45" s="1" t="s">
        <v>170</v>
      </c>
      <c r="C45" s="59">
        <v>0</v>
      </c>
      <c r="D45" s="60">
        <f>D42</f>
        <v>0.6</v>
      </c>
    </row>
    <row r="46" spans="2:13" ht="13.9" x14ac:dyDescent="0.4">
      <c r="B46" s="3" t="s">
        <v>122</v>
      </c>
      <c r="C46" s="59">
        <v>17580</v>
      </c>
      <c r="D46" s="60">
        <v>0.1</v>
      </c>
    </row>
    <row r="47" spans="2:13" ht="13.9" x14ac:dyDescent="0.4">
      <c r="B47" s="3" t="s">
        <v>47</v>
      </c>
      <c r="C47" s="59"/>
      <c r="D47" s="60">
        <f>D44</f>
        <v>0.5</v>
      </c>
    </row>
    <row r="48" spans="2:13" ht="13.9" x14ac:dyDescent="0.4">
      <c r="B48" s="1" t="s">
        <v>48</v>
      </c>
      <c r="C48" s="59"/>
      <c r="D48" s="60">
        <f>D42</f>
        <v>0.6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f>D40</f>
        <v>0.9</v>
      </c>
    </row>
    <row r="51" spans="2:4" ht="13.9" x14ac:dyDescent="0.4">
      <c r="B51" s="35" t="s">
        <v>51</v>
      </c>
      <c r="C51" s="121"/>
      <c r="D51" s="202">
        <f>D62</f>
        <v>0.05</v>
      </c>
    </row>
    <row r="52" spans="2:4" ht="13.9" x14ac:dyDescent="0.4">
      <c r="B52" s="3" t="s">
        <v>61</v>
      </c>
      <c r="C52" s="59"/>
      <c r="D52" s="60">
        <f>D41</f>
        <v>0.8</v>
      </c>
    </row>
    <row r="53" spans="2:4" ht="13.9" x14ac:dyDescent="0.4">
      <c r="B53" s="3" t="s">
        <v>63</v>
      </c>
      <c r="C53" s="59">
        <v>98517</v>
      </c>
      <c r="D53" s="60">
        <f>D43</f>
        <v>0.6</v>
      </c>
    </row>
    <row r="54" spans="2:4" ht="13.9" x14ac:dyDescent="0.4">
      <c r="B54" s="3" t="s">
        <v>65</v>
      </c>
      <c r="C54" s="59">
        <v>0</v>
      </c>
      <c r="D54" s="60">
        <f>D44</f>
        <v>0.5</v>
      </c>
    </row>
    <row r="55" spans="2:4" ht="13.9" x14ac:dyDescent="0.4">
      <c r="B55" s="1" t="s">
        <v>171</v>
      </c>
      <c r="C55" s="59">
        <v>0</v>
      </c>
      <c r="D55" s="60">
        <f>D54</f>
        <v>0.5</v>
      </c>
    </row>
    <row r="56" spans="2:4" ht="13.9" x14ac:dyDescent="0.4">
      <c r="B56" s="3" t="s">
        <v>68</v>
      </c>
      <c r="C56" s="59">
        <v>28511</v>
      </c>
      <c r="D56" s="60">
        <v>0.4</v>
      </c>
    </row>
    <row r="57" spans="2:4" ht="13.9" x14ac:dyDescent="0.4">
      <c r="B57" s="3" t="s">
        <v>70</v>
      </c>
      <c r="C57" s="59">
        <v>232091</v>
      </c>
      <c r="D57" s="60">
        <v>0.1</v>
      </c>
    </row>
    <row r="58" spans="2:4" ht="13.9" x14ac:dyDescent="0.4">
      <c r="B58" s="3" t="s">
        <v>72</v>
      </c>
      <c r="C58" s="59">
        <v>0</v>
      </c>
      <c r="D58" s="60">
        <v>0.2</v>
      </c>
    </row>
    <row r="59" spans="2:4" ht="13.9" x14ac:dyDescent="0.4">
      <c r="B59" s="1" t="s">
        <v>49</v>
      </c>
      <c r="C59" s="59">
        <v>0</v>
      </c>
      <c r="D59" s="60">
        <f>D57</f>
        <v>0.1</v>
      </c>
    </row>
    <row r="60" spans="2:4" ht="13.9" x14ac:dyDescent="0.4">
      <c r="B60" s="3" t="s">
        <v>123</v>
      </c>
      <c r="C60" s="59">
        <v>116537</v>
      </c>
      <c r="D60" s="60">
        <f>D57</f>
        <v>0.1</v>
      </c>
    </row>
    <row r="61" spans="2:4" ht="13.9" x14ac:dyDescent="0.4">
      <c r="B61" s="3" t="s">
        <v>73</v>
      </c>
      <c r="C61" s="59">
        <v>0</v>
      </c>
      <c r="D61" s="60">
        <f>D62</f>
        <v>0.05</v>
      </c>
    </row>
    <row r="62" spans="2:4" ht="13.9" x14ac:dyDescent="0.4">
      <c r="B62" s="3" t="s">
        <v>74</v>
      </c>
      <c r="C62" s="59">
        <v>306071</v>
      </c>
      <c r="D62" s="60">
        <v>0.05</v>
      </c>
    </row>
    <row r="63" spans="2:4" ht="13.9" x14ac:dyDescent="0.4">
      <c r="B63" s="3" t="s">
        <v>75</v>
      </c>
      <c r="C63" s="59">
        <v>88298</v>
      </c>
      <c r="D63" s="60">
        <f>D50</f>
        <v>0.9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>
        <v>270468</v>
      </c>
    </row>
    <row r="67" spans="2:3" ht="13.9" x14ac:dyDescent="0.4">
      <c r="B67" s="3" t="s">
        <v>40</v>
      </c>
      <c r="C67" s="59">
        <v>18682</v>
      </c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>
        <v>959583</v>
      </c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>
        <v>74975</v>
      </c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>
        <v>75530</v>
      </c>
    </row>
    <row r="76" spans="2:3" ht="14.25" thickTop="1" x14ac:dyDescent="0.4">
      <c r="B76" s="73" t="s">
        <v>242</v>
      </c>
      <c r="C76" s="59">
        <v>8486660</v>
      </c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D20" sqref="D20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169895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</v>
      </c>
      <c r="D4" s="1" t="str">
        <f>Dashboard!G6</f>
        <v>CNY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867764</v>
      </c>
      <c r="D6" s="209">
        <f>IF(Inputs!D19="","",Inputs!D19)</f>
        <v>924200</v>
      </c>
      <c r="E6" s="209">
        <f>IF(Inputs!E19="","",Inputs!E19)</f>
        <v>1198013</v>
      </c>
      <c r="F6" s="209">
        <f>IF(Inputs!F19="","",Inputs!F19)</f>
        <v>1028541</v>
      </c>
      <c r="G6" s="209">
        <f>IF(Inputs!G19="","",Inputs!G19)</f>
        <v>699593</v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-6.1064704609391951E-2</v>
      </c>
      <c r="D7" s="92">
        <f t="shared" si="1"/>
        <v>-0.22855595056147138</v>
      </c>
      <c r="E7" s="92">
        <f t="shared" si="1"/>
        <v>0.16476931887012758</v>
      </c>
      <c r="F7" s="92">
        <f t="shared" si="1"/>
        <v>0.47019910147757349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341249</v>
      </c>
      <c r="D8" s="208">
        <f>IF(Inputs!D20="","",Inputs!D20)</f>
        <v>149665</v>
      </c>
      <c r="E8" s="208">
        <f>IF(Inputs!E20="","",Inputs!E20)</f>
        <v>270763</v>
      </c>
      <c r="F8" s="208">
        <f>IF(Inputs!F20="","",Inputs!F20)</f>
        <v>398163</v>
      </c>
      <c r="G8" s="208">
        <f>IF(Inputs!G20="","",Inputs!G20)</f>
        <v>336621</v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526515</v>
      </c>
      <c r="D9" s="154">
        <f t="shared" si="2"/>
        <v>774535</v>
      </c>
      <c r="E9" s="154">
        <f t="shared" si="2"/>
        <v>927250</v>
      </c>
      <c r="F9" s="154">
        <f t="shared" si="2"/>
        <v>630378</v>
      </c>
      <c r="G9" s="154">
        <f t="shared" si="2"/>
        <v>362972</v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345571</v>
      </c>
      <c r="D10" s="208">
        <f>IF(Inputs!D21="","",Inputs!D21)</f>
        <v>398159</v>
      </c>
      <c r="E10" s="208">
        <f>IF(Inputs!E21="","",Inputs!E21)</f>
        <v>356401</v>
      </c>
      <c r="F10" s="208">
        <f>IF(Inputs!F21="","",Inputs!F21)</f>
        <v>124222</v>
      </c>
      <c r="G10" s="208">
        <f>IF(Inputs!G21="","",Inputs!G21)</f>
        <v>94347</v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>
        <f>IF(OR(C6="",C12=""),"",C12/C6)</f>
        <v>0.15496494438580075</v>
      </c>
      <c r="D11" s="155">
        <f t="shared" ref="D11:M11" si="3">IF(OR(D6="",D12=""),"",D12/D6)</f>
        <v>0.11368426747457261</v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>
        <f>IF(Inputs!C22="","",Inputs!C22)</f>
        <v>134473</v>
      </c>
      <c r="D12" s="208">
        <f>IF(Inputs!D22="","",Inputs!D22)</f>
        <v>105067</v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315417</v>
      </c>
      <c r="D13" s="154">
        <f t="shared" ref="D13:M13" si="4">IF(D6="","",(D9-D10+MAX(D12,0)))</f>
        <v>481443</v>
      </c>
      <c r="E13" s="154">
        <f t="shared" si="4"/>
        <v>570849</v>
      </c>
      <c r="F13" s="154">
        <f t="shared" si="4"/>
        <v>506156</v>
      </c>
      <c r="G13" s="154">
        <f t="shared" si="4"/>
        <v>268625</v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>
        <f>IF(Inputs!C23="","",Inputs!C23)</f>
        <v>365801</v>
      </c>
      <c r="D14" s="208">
        <f>IF(Inputs!D23="","",Inputs!D23)</f>
        <v>351118</v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>
        <f>IF(Inputs!C24="","",Inputs!C24)</f>
        <v>134337</v>
      </c>
      <c r="D15" s="208">
        <f>IF(Inputs!D24="","",Inputs!D24)</f>
        <v>170139</v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>
        <f>IF(Inputs!C25="","",Inputs!C25)</f>
        <v>-252904</v>
      </c>
      <c r="D16" s="208">
        <f>IF(Inputs!D25="","",Inputs!D25)</f>
        <v>1593322</v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8305</v>
      </c>
      <c r="D17" s="208">
        <f>IF(Inputs!D26="","",Inputs!D26)</f>
        <v>30280</v>
      </c>
      <c r="E17" s="208">
        <f>IF(Inputs!E26="","",Inputs!E26)</f>
        <v>135144</v>
      </c>
      <c r="F17" s="208">
        <f>IF(Inputs!F26="","",Inputs!F26)</f>
        <v>140407</v>
      </c>
      <c r="G17" s="208">
        <f>IF(Inputs!G26="","",Inputs!G26)</f>
        <v>108297</v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2058</v>
      </c>
      <c r="D18" s="208">
        <f>IF(Inputs!D27="","",Inputs!D27)</f>
        <v>8397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236" t="s">
        <v>216</v>
      </c>
      <c r="C19" s="237">
        <f>IF(C6="","",C9-C10-MAX(C17,0)-MAX(C18,0)/(1-Fin_Analysis!$I$84))</f>
        <v>169895</v>
      </c>
      <c r="D19" s="237">
        <f>IF(D6="","",D9-D10-MAX(D17,0)-MAX(D18,0)/(1-Fin_Analysis!$I$84))</f>
        <v>334900</v>
      </c>
      <c r="E19" s="237">
        <f>IF(E6="","",E9-E10-MAX(E17,0)-MAX(E18,0)/(1-Fin_Analysis!$I$84))</f>
        <v>435705</v>
      </c>
      <c r="F19" s="237">
        <f>IF(F6="","",F9-F10-MAX(F17,0)-MAX(F18,0)/(1-Fin_Analysis!$I$84))</f>
        <v>365749</v>
      </c>
      <c r="G19" s="237">
        <f>IF(G6="","",G9-G10-MAX(G17,0)-MAX(G18,0)/(1-Fin_Analysis!$I$84))</f>
        <v>160328</v>
      </c>
      <c r="H19" s="237" t="str">
        <f>IF(H6="","",H9-H10-MAX(H17,0)-MAX(H18,0)/(1-Fin_Analysis!$I$84))</f>
        <v/>
      </c>
      <c r="I19" s="237" t="str">
        <f>IF(I6="","",I9-I10-MAX(I17,0)-MAX(I18,0)/(1-Fin_Analysis!$I$84))</f>
        <v/>
      </c>
      <c r="J19" s="237" t="str">
        <f>IF(J6="","",J9-J10-MAX(J17,0)-MAX(J18,0)/(1-Fin_Analysis!$I$84))</f>
        <v/>
      </c>
      <c r="K19" s="237" t="str">
        <f>IF(K6="","",K9-K10-MAX(K17,0)-MAX(K18,0)/(1-Fin_Analysis!$I$84))</f>
        <v/>
      </c>
      <c r="L19" s="237" t="str">
        <f>IF(L6="","",L9-L10-MAX(L17,0)-MAX(L18,0)/(1-Fin_Analysis!$I$84))</f>
        <v/>
      </c>
      <c r="M19" s="237" t="str">
        <f>IF(M6="","",M9-M10-MAX(M17,0)-MAX(M18,0)/(1-Fin_Analysis!$I$84))</f>
        <v/>
      </c>
      <c r="N19" s="87"/>
    </row>
    <row r="20" spans="1:14" ht="15.75" customHeight="1" x14ac:dyDescent="0.4">
      <c r="A20" s="4"/>
      <c r="B20" s="236" t="s">
        <v>217</v>
      </c>
      <c r="C20" s="238">
        <f>IF(D19="","",IF(ABS(C19+D19)=ABS(C19)+ABS(D19),IF(C19&lt;0,-1,1)*(C19-D19)/D19,"Turn"))</f>
        <v>-0.49269931322782923</v>
      </c>
      <c r="D20" s="238">
        <f t="shared" ref="D20:M20" si="5">IF(E19="","",IF(ABS(D19+E19)=ABS(D19)+ABS(E19),IF(D19&lt;0,-1,1)*(D19-E19)/E19,"Turn"))</f>
        <v>-0.23136066834211222</v>
      </c>
      <c r="E20" s="238">
        <f t="shared" si="5"/>
        <v>0.19126778200350514</v>
      </c>
      <c r="F20" s="238">
        <f t="shared" si="5"/>
        <v>1.281254677910284</v>
      </c>
      <c r="G20" s="238" t="str">
        <f t="shared" si="5"/>
        <v/>
      </c>
      <c r="H20" s="238" t="str">
        <f t="shared" si="5"/>
        <v/>
      </c>
      <c r="I20" s="238" t="str">
        <f t="shared" si="5"/>
        <v/>
      </c>
      <c r="J20" s="238" t="str">
        <f t="shared" si="5"/>
        <v/>
      </c>
      <c r="K20" s="238" t="str">
        <f t="shared" si="5"/>
        <v/>
      </c>
      <c r="L20" s="238" t="str">
        <f t="shared" si="5"/>
        <v/>
      </c>
      <c r="M20" s="238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IF(C6="","",C13-MAX(C14,0)-MAX(C15,0)-MAX(C16,0)-MAX(C17,0)-MAX(C18,0)/(1-Fin_Analysis!$I$84))</f>
        <v>-195770</v>
      </c>
      <c r="D21" s="77">
        <f>IF(D6="","",D13-MAX(D14,0)-MAX(D15,0)-MAX(D16,0)-MAX(D17,0)-MAX(D18,0)/(1-Fin_Analysis!$I$84))</f>
        <v>-1674612</v>
      </c>
      <c r="E21" s="77">
        <f>IF(E6="","",E13-MAX(E14,0)-MAX(E15,0)-MAX(E16,0)-MAX(E17,0)-MAX(E18,0)/(1-Fin_Analysis!$I$84))</f>
        <v>435705</v>
      </c>
      <c r="F21" s="77">
        <f>IF(F6="","",F13-MAX(F14,0)-MAX(F15,0)-MAX(F16,0)-MAX(F17,0)-MAX(F18,0)/(1-Fin_Analysis!$I$84))</f>
        <v>365749</v>
      </c>
      <c r="G21" s="77">
        <f>IF(G6="","",G13-MAX(G14,0)-MAX(G15,0)-MAX(G16,0)-MAX(G17,0)-MAX(G18,0)/(1-Fin_Analysis!$I$84))</f>
        <v>160328</v>
      </c>
      <c r="H21" s="77" t="str">
        <f>IF(H6="","",H13-MAX(H14,0)-MAX(H15,0)-MAX(H16,0)-MAX(H17,0)-MAX(H18,0)/(1-Fin_Analysis!$I$84))</f>
        <v/>
      </c>
      <c r="I21" s="77" t="str">
        <f>IF(I6="","",I13-MAX(I14,0)-MAX(I15,0)-MAX(I16,0)-MAX(I17,0)-MAX(I18,0)/(1-Fin_Analysis!$I$84))</f>
        <v/>
      </c>
      <c r="J21" s="77" t="str">
        <f>IF(J6="","",J13-MAX(J14,0)-MAX(J15,0)-MAX(J16,0)-MAX(J17,0)-MAX(J18,0)/(1-Fin_Analysis!$I$84))</f>
        <v/>
      </c>
      <c r="K21" s="77" t="str">
        <f>IF(K6="","",K13-MAX(K14,0)-MAX(K15,0)-MAX(K16,0)-MAX(K17,0)-MAX(K18,0)/(1-Fin_Analysis!$I$84))</f>
        <v/>
      </c>
      <c r="L21" s="77" t="str">
        <f>IF(L6="","",L13-MAX(L14,0)-MAX(L15,0)-MAX(L16,0)-MAX(L17,0)-MAX(L18,0)/(1-Fin_Analysis!$I$84))</f>
        <v/>
      </c>
      <c r="M21" s="77" t="str">
        <f>IF(M6="","",M13-MAX(M14,0)-MAX(M15,0)-MAX(M16,0)-MAX(M17,0)-MAX(M18,0)/(1-Fin_Analysis!$I$84))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0.88309530804747605</v>
      </c>
      <c r="D22" s="156" t="str">
        <f t="shared" ref="D22:M22" si="6">IF(E21="","",IF(ABS(D21+E21)=ABS(D21)+ABS(E21),IF(D21&lt;0,-1,1)*(D21-E21)/E21,"Turn"))</f>
        <v>Turn</v>
      </c>
      <c r="E22" s="156">
        <f t="shared" si="6"/>
        <v>0.19126778200350514</v>
      </c>
      <c r="F22" s="156">
        <f t="shared" si="6"/>
        <v>1.281254677910284</v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-0.16920211025117429</v>
      </c>
      <c r="D23" s="157">
        <f t="shared" si="7"/>
        <v>-1.3589688379138714</v>
      </c>
      <c r="E23" s="157">
        <f t="shared" si="7"/>
        <v>0.27276728215804003</v>
      </c>
      <c r="F23" s="157">
        <f t="shared" si="7"/>
        <v>0.26669986903779236</v>
      </c>
      <c r="G23" s="157">
        <f t="shared" si="7"/>
        <v>0.17187993590559081</v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-146827.5</v>
      </c>
      <c r="D24" s="77">
        <f>IF(D6="","",D21*(1-Fin_Analysis!$I$84))</f>
        <v>-1255959</v>
      </c>
      <c r="E24" s="77">
        <f>IF(E6="","",E21*(1-Fin_Analysis!$I$84))</f>
        <v>326778.75</v>
      </c>
      <c r="F24" s="77">
        <f>IF(F6="","",F21*(1-Fin_Analysis!$I$84))</f>
        <v>274311.75</v>
      </c>
      <c r="G24" s="77">
        <f>IF(G6="","",G21*(1-Fin_Analysis!$I$84))</f>
        <v>120246</v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0.88309530804747605</v>
      </c>
      <c r="D25" s="159" t="str">
        <f t="shared" ref="D25:M25" si="8">IF(E24="","",IF(ABS(D24+E24)=ABS(D24)+ABS(E24),IF(D24&lt;0,-1,1)*(D24-E24)/E24,"Turn"))</f>
        <v>Turn</v>
      </c>
      <c r="E25" s="159">
        <f t="shared" si="8"/>
        <v>0.19126778200350514</v>
      </c>
      <c r="F25" s="159">
        <f t="shared" si="8"/>
        <v>1.281254677910284</v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9518344</v>
      </c>
      <c r="D27" s="65">
        <f t="shared" ref="D27:M27" si="18">IF(D36="","",D36+D31+D32)</f>
        <v>11924356</v>
      </c>
      <c r="E27" s="65">
        <f t="shared" si="18"/>
        <v>11807980</v>
      </c>
      <c r="F27" s="65">
        <f t="shared" si="18"/>
        <v>6136353</v>
      </c>
      <c r="G27" s="65">
        <f t="shared" si="18"/>
        <v>3771231</v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8648319</v>
      </c>
      <c r="D28" s="208">
        <f>IF(Inputs!D28="","",Inputs!D28)</f>
        <v>11098580</v>
      </c>
      <c r="E28" s="208">
        <f>IF(Inputs!E28="","",Inputs!E28)</f>
        <v>11219637</v>
      </c>
      <c r="F28" s="208">
        <f>IF(Inputs!F28="","",Inputs!F28)</f>
        <v>5753012</v>
      </c>
      <c r="G28" s="208">
        <f>IF(Inputs!G28="","",Inputs!G28)</f>
        <v>3489602</v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2576350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959583</v>
      </c>
      <c r="D31" s="208">
        <f>IF(Inputs!D31="","",Inputs!D31)</f>
        <v>1937845</v>
      </c>
      <c r="E31" s="208">
        <f>IF(Inputs!E31="","",Inputs!E31)</f>
        <v>2024596</v>
      </c>
      <c r="F31" s="208">
        <f>IF(Inputs!F31="","",Inputs!F31)</f>
        <v>9408613</v>
      </c>
      <c r="G31" s="208">
        <f>IF(Inputs!G31="","",Inputs!G31)</f>
        <v>6338479</v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75530</v>
      </c>
      <c r="D32" s="208">
        <f>IF(Inputs!D32="","",Inputs!D32)</f>
        <v>29983</v>
      </c>
      <c r="E32" s="208">
        <f>IF(Inputs!E32="","",Inputs!E32)</f>
        <v>61277</v>
      </c>
      <c r="F32" s="208">
        <f>IF(Inputs!F32="","",Inputs!F32)</f>
        <v>51229</v>
      </c>
      <c r="G32" s="208">
        <f>IF(Inputs!G32="","",Inputs!G32)</f>
        <v>23195</v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289150</v>
      </c>
      <c r="D33" s="208">
        <f>IF(Inputs!D33="","",Inputs!D33)</f>
        <v>29464</v>
      </c>
      <c r="E33" s="208">
        <f>IF(Inputs!E33="","",Inputs!E33)</f>
        <v>1195554</v>
      </c>
      <c r="F33" s="208">
        <f>IF(Inputs!F33="","",Inputs!F33)</f>
        <v>2707794</v>
      </c>
      <c r="G33" s="208">
        <f>IF(Inputs!G33="","",Inputs!G33)</f>
        <v>1053656</v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74975</v>
      </c>
      <c r="D34" s="208">
        <f>IF(Inputs!D34="","",Inputs!D34)</f>
        <v>29983</v>
      </c>
      <c r="E34" s="208">
        <f>IF(Inputs!E34="","",Inputs!E34)</f>
        <v>61277</v>
      </c>
      <c r="F34" s="208">
        <f>IF(Inputs!F34="","",Inputs!F34)</f>
        <v>51229</v>
      </c>
      <c r="G34" s="208">
        <f>IF(Inputs!G34="","",Inputs!G34)</f>
        <v>23195</v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364125</v>
      </c>
      <c r="D35" s="77">
        <f t="shared" ref="D35" si="20">IF(OR(D33="",D34=""),"",D33+D34)</f>
        <v>59447</v>
      </c>
      <c r="E35" s="77">
        <f t="shared" ref="E35" si="21">IF(OR(E33="",E34=""),"",E33+E34)</f>
        <v>1256831</v>
      </c>
      <c r="F35" s="77">
        <f t="shared" ref="F35" si="22">IF(OR(F33="",F34=""),"",F33+F34)</f>
        <v>2759023</v>
      </c>
      <c r="G35" s="77">
        <f t="shared" ref="G35" si="23">IF(OR(G33="",G34=""),"",G33+G34)</f>
        <v>1076851</v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8483231</v>
      </c>
      <c r="D36" s="208">
        <f>IF(Inputs!D35="","",Inputs!D35)</f>
        <v>9956528</v>
      </c>
      <c r="E36" s="208">
        <f>IF(Inputs!E35="","",Inputs!E35)</f>
        <v>9722107</v>
      </c>
      <c r="F36" s="208">
        <f>IF(Inputs!F35="","",Inputs!F35)</f>
        <v>-3323489</v>
      </c>
      <c r="G36" s="208">
        <f>IF(Inputs!G35="","",Inputs!G35)</f>
        <v>-2590443</v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-3429</v>
      </c>
      <c r="D37" s="208">
        <f>IF(Inputs!D36="","",Inputs!D36)</f>
        <v>9957299</v>
      </c>
      <c r="E37" s="208">
        <f>IF(Inputs!E36="","",Inputs!E36)</f>
        <v>9714578</v>
      </c>
      <c r="F37" s="208">
        <f>IF(Inputs!F36="","",Inputs!F36)</f>
        <v>-3329901</v>
      </c>
      <c r="G37" s="208">
        <f>IF(Inputs!G36="","",Inputs!G36)</f>
        <v>-2595281</v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6221996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3296348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>
        <f t="shared" ref="C40" si="31">IF(C6="","",C21/C39)</f>
        <v>-5.9389967321411455E-2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0.39325092997635303</v>
      </c>
      <c r="D42" s="161">
        <f t="shared" si="33"/>
        <v>0.16194005626487773</v>
      </c>
      <c r="E42" s="161">
        <f t="shared" si="33"/>
        <v>0.22601006833815659</v>
      </c>
      <c r="F42" s="161">
        <f t="shared" si="33"/>
        <v>0.38711436880007699</v>
      </c>
      <c r="G42" s="161">
        <f t="shared" si="33"/>
        <v>0.48116690704452447</v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0.24326660244029483</v>
      </c>
      <c r="D43" s="157">
        <f t="shared" ref="D43:M43" si="34">IF(D6="","",(D10-MAX(D12,0))/D6)</f>
        <v>0.31713049123566328</v>
      </c>
      <c r="E43" s="157">
        <f t="shared" si="34"/>
        <v>0.29749343287593705</v>
      </c>
      <c r="F43" s="157">
        <f t="shared" si="34"/>
        <v>0.12077496181484258</v>
      </c>
      <c r="G43" s="157">
        <f t="shared" si="34"/>
        <v>0.13485983993550535</v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0.57635255668591923</v>
      </c>
      <c r="D44" s="157">
        <f t="shared" ref="D44:M44" si="35">IF(D6="","",(MAX(D14,0)+MAX(D15,0))/D6)</f>
        <v>0.56400887253841159</v>
      </c>
      <c r="E44" s="157">
        <f t="shared" si="35"/>
        <v>0</v>
      </c>
      <c r="F44" s="157">
        <f t="shared" si="35"/>
        <v>0</v>
      </c>
      <c r="G44" s="157">
        <f t="shared" si="35"/>
        <v>0</v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1.7240012984202553</v>
      </c>
      <c r="E45" s="157">
        <f t="shared" si="36"/>
        <v>0</v>
      </c>
      <c r="F45" s="157">
        <f t="shared" si="36"/>
        <v>0</v>
      </c>
      <c r="G45" s="157">
        <f t="shared" si="36"/>
        <v>0</v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>IF(C6="","",MAX(C17,0)/C6)</f>
        <v>9.5705744879944314E-3</v>
      </c>
      <c r="D46" s="157">
        <f t="shared" ref="D46:M46" si="37">IF(D6="","",MAX(D17,0)/D6)</f>
        <v>3.2763471110149316E-2</v>
      </c>
      <c r="E46" s="157">
        <f t="shared" si="37"/>
        <v>0.11280678924185297</v>
      </c>
      <c r="F46" s="157">
        <f t="shared" si="37"/>
        <v>0.13651084400135727</v>
      </c>
      <c r="G46" s="157">
        <f t="shared" si="37"/>
        <v>0.15480000514584907</v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3.1621500776708874E-3</v>
      </c>
      <c r="D47" s="157">
        <f>IF(D6="","",MAX(D18,0)/(1-Fin_Analysis!$I$84)/D6)</f>
        <v>1.2114260982471326E-2</v>
      </c>
      <c r="E47" s="157">
        <f>IF(E6="","",MAX(E18,0)/(1-Fin_Analysis!$I$84)/E6)</f>
        <v>0</v>
      </c>
      <c r="F47" s="157">
        <f>IF(F6="","",MAX(F18,0)/(1-Fin_Analysis!$I$84)/F6)</f>
        <v>0</v>
      </c>
      <c r="G47" s="157">
        <f>IF(G6="","",MAX(G18,0)/(1-Fin_Analysis!$I$84)/G6)</f>
        <v>0</v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-0.22560281366823237</v>
      </c>
      <c r="D48" s="157">
        <f t="shared" si="38"/>
        <v>-1.8119584505518287</v>
      </c>
      <c r="E48" s="157">
        <f t="shared" si="38"/>
        <v>0.36368970954405339</v>
      </c>
      <c r="F48" s="157">
        <f t="shared" si="38"/>
        <v>0.35559982538372314</v>
      </c>
      <c r="G48" s="157">
        <f t="shared" si="38"/>
        <v>0.22917324787412111</v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2.9689523879764543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>
        <f>IF(C36="","",(C27-C36)/C27)</f>
        <v>0.10874927403338228</v>
      </c>
      <c r="D53" s="161">
        <f t="shared" ref="D53:M53" si="41">IF(D36="","",(D27-D36)/D27)</f>
        <v>0.16502593515322755</v>
      </c>
      <c r="E53" s="161">
        <f t="shared" si="41"/>
        <v>0.176649435381835</v>
      </c>
      <c r="F53" s="161">
        <f t="shared" si="41"/>
        <v>1.5416065535995078</v>
      </c>
      <c r="G53" s="161">
        <f t="shared" si="41"/>
        <v>1.6868958703404804</v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>
        <f>IF(OR(C21="",C35=""),"",IF(C35&lt;=0,"-",C21/C35))</f>
        <v>-0.53764503947820119</v>
      </c>
      <c r="D54" s="162">
        <f t="shared" ref="D54:M54" si="42">IF(OR(D21="",D35=""),"",IF(D35&lt;=0,"-",D21/D35))</f>
        <v>-28.169831951149764</v>
      </c>
      <c r="E54" s="162">
        <f t="shared" si="42"/>
        <v>0.34666952040489135</v>
      </c>
      <c r="F54" s="162">
        <f t="shared" si="42"/>
        <v>0.13256467959853904</v>
      </c>
      <c r="G54" s="162">
        <f t="shared" si="42"/>
        <v>0.1488859647249248</v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>IF(C21="","",IF(MAX(C17,0)&lt;=0,"-",C17/C21))</f>
        <v>-4.2422230168054346E-2</v>
      </c>
      <c r="D55" s="157">
        <f t="shared" ref="D55:M55" si="43">IF(D21="","",IF(MAX(D17,0)&lt;=0,"-",D17/D21))</f>
        <v>-1.8081800440937962E-2</v>
      </c>
      <c r="E55" s="157">
        <f t="shared" si="43"/>
        <v>0.31017316762488378</v>
      </c>
      <c r="F55" s="157">
        <f t="shared" si="43"/>
        <v>0.38388895116596355</v>
      </c>
      <c r="G55" s="157">
        <f t="shared" si="43"/>
        <v>0.67547153335661891</v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>
        <f t="shared" ref="C56:M56" si="44">IF(C28="","",C28/C31)</f>
        <v>9.0125804646393277</v>
      </c>
      <c r="D56" s="163">
        <f t="shared" si="44"/>
        <v>5.7272795295805388</v>
      </c>
      <c r="E56" s="163">
        <f t="shared" si="44"/>
        <v>5.5416670782714181</v>
      </c>
      <c r="F56" s="163">
        <f t="shared" si="44"/>
        <v>0.61146228461091978</v>
      </c>
      <c r="G56" s="163">
        <f t="shared" si="44"/>
        <v>0.55054248818999008</v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91" zoomScaleNormal="100" workbookViewId="0">
      <selection activeCell="E106" sqref="E10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8483231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8486660</v>
      </c>
      <c r="K3" s="24"/>
    </row>
    <row r="4" spans="1:11" ht="15" customHeight="1" x14ac:dyDescent="0.4">
      <c r="B4" s="3" t="s">
        <v>25</v>
      </c>
      <c r="C4" s="87"/>
      <c r="D4" s="65">
        <f>D3-I3</f>
        <v>-3429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9.0125804646393277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6313026.580424726</v>
      </c>
      <c r="E6" s="56">
        <f>1-D6/D3</f>
        <v>0.25582286036714952</v>
      </c>
      <c r="F6" s="87"/>
      <c r="G6" s="87"/>
      <c r="H6" s="1" t="s">
        <v>30</v>
      </c>
      <c r="I6" s="63">
        <f>(C24+C25)/I28</f>
        <v>9.0125804646393277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2.9813092692177903</v>
      </c>
      <c r="E7" s="11" t="str">
        <f>Dashboard!H3</f>
        <v>HKD</v>
      </c>
      <c r="H7" s="1" t="s">
        <v>31</v>
      </c>
      <c r="I7" s="63">
        <f>C24/I28</f>
        <v>8.9487621185452433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4923071</v>
      </c>
      <c r="D11" s="207">
        <f>Inputs!D40</f>
        <v>0.9</v>
      </c>
      <c r="E11" s="88">
        <f t="shared" ref="E11:E21" si="0">C11*D11</f>
        <v>4430763.9000000004</v>
      </c>
      <c r="F11" s="113"/>
      <c r="G11" s="87"/>
      <c r="H11" s="3" t="s">
        <v>39</v>
      </c>
      <c r="I11" s="40">
        <f>Inputs!C66</f>
        <v>270468</v>
      </c>
      <c r="J11" s="87"/>
      <c r="K11" s="24"/>
    </row>
    <row r="12" spans="1:11" ht="13.9" x14ac:dyDescent="0.4">
      <c r="B12" s="1" t="s">
        <v>146</v>
      </c>
      <c r="C12" s="40">
        <f>Inputs!C41</f>
        <v>163001</v>
      </c>
      <c r="D12" s="207">
        <f>Inputs!D41</f>
        <v>0.8</v>
      </c>
      <c r="E12" s="88">
        <f t="shared" si="0"/>
        <v>130400.8</v>
      </c>
      <c r="F12" s="113"/>
      <c r="G12" s="87"/>
      <c r="H12" s="3" t="s">
        <v>40</v>
      </c>
      <c r="I12" s="40">
        <f>Inputs!C67</f>
        <v>18682</v>
      </c>
      <c r="J12" s="87"/>
      <c r="K12" s="24"/>
    </row>
    <row r="13" spans="1:11" ht="13.9" x14ac:dyDescent="0.4">
      <c r="B13" s="3" t="s">
        <v>121</v>
      </c>
      <c r="C13" s="40">
        <f>Inputs!C42</f>
        <v>2576350</v>
      </c>
      <c r="D13" s="207">
        <f>Inputs!D42</f>
        <v>0.6</v>
      </c>
      <c r="E13" s="88">
        <f t="shared" si="0"/>
        <v>1545810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924658</v>
      </c>
      <c r="D14" s="207">
        <f>Inputs!D43</f>
        <v>0.6</v>
      </c>
      <c r="E14" s="88">
        <f>C14*D14</f>
        <v>554794.79999999993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43659</v>
      </c>
      <c r="D15" s="207">
        <f>Inputs!D44</f>
        <v>0.5</v>
      </c>
      <c r="E15" s="88">
        <f>C15*D15</f>
        <v>21829.5</v>
      </c>
      <c r="F15" s="113"/>
      <c r="G15" s="87"/>
      <c r="H15" s="1" t="s">
        <v>54</v>
      </c>
      <c r="I15" s="84">
        <f>SUM(I11:I14)</f>
        <v>289150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0.6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17580</v>
      </c>
      <c r="D17" s="207">
        <f>Inputs!D46</f>
        <v>0.1</v>
      </c>
      <c r="E17" s="88">
        <f t="shared" si="0"/>
        <v>1758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0.6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0.05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670433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8587080</v>
      </c>
      <c r="D24" s="62">
        <f>IF(E24=0,0,E24/C24)</f>
        <v>0.77578984940165918</v>
      </c>
      <c r="E24" s="88">
        <f>SUM(E11:E14)</f>
        <v>6661769.5</v>
      </c>
      <c r="F24" s="114">
        <f>E24/$E$28</f>
        <v>0.99647176657880798</v>
      </c>
      <c r="G24" s="87"/>
    </row>
    <row r="25" spans="2:10" ht="15" customHeight="1" x14ac:dyDescent="0.4">
      <c r="B25" s="23" t="s">
        <v>55</v>
      </c>
      <c r="C25" s="61">
        <f>SUM(C15:C17)</f>
        <v>61239</v>
      </c>
      <c r="D25" s="62">
        <f>IF(E25=0,0,E25/C25)</f>
        <v>0.38517121442218194</v>
      </c>
      <c r="E25" s="88">
        <f>SUM(E15:E17)</f>
        <v>23587.5</v>
      </c>
      <c r="F25" s="114">
        <f t="shared" ref="F25:F27" si="2">E25/$E$28</f>
        <v>3.528233421192017E-3</v>
      </c>
      <c r="G25" s="87"/>
      <c r="H25" s="23" t="s">
        <v>56</v>
      </c>
      <c r="I25" s="63">
        <f>E28/I28</f>
        <v>6.9669398061449606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>
        <f t="shared" si="2"/>
        <v>0</v>
      </c>
      <c r="G26" s="87"/>
      <c r="H26" s="23" t="s">
        <v>58</v>
      </c>
      <c r="I26" s="63">
        <f>E24/($I$28-I22)</f>
        <v>23.039147501296906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>
        <f t="shared" si="2"/>
        <v>0</v>
      </c>
      <c r="G27" s="87"/>
      <c r="H27" s="23" t="s">
        <v>60</v>
      </c>
      <c r="I27" s="63">
        <f>(E25+E24)/$I$28</f>
        <v>6.9669398061449606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8648319</v>
      </c>
      <c r="D28" s="57">
        <f t="shared" ref="D28" si="4">E28/C28</f>
        <v>0.77302386741284634</v>
      </c>
      <c r="E28" s="70">
        <f>SUM(E24:E27)</f>
        <v>6685357</v>
      </c>
      <c r="F28" s="113"/>
      <c r="G28" s="87"/>
      <c r="H28" s="78" t="s">
        <v>16</v>
      </c>
      <c r="I28" s="215">
        <f>Inputs!C70</f>
        <v>959583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0.8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98517</v>
      </c>
      <c r="D31" s="207">
        <f>Inputs!D53</f>
        <v>0.6</v>
      </c>
      <c r="E31" s="88">
        <f t="shared" ref="E31:E42" si="5">C31*D31</f>
        <v>59110.2</v>
      </c>
      <c r="F31" s="113"/>
      <c r="G31" s="87"/>
      <c r="H31" s="3" t="s">
        <v>64</v>
      </c>
      <c r="I31" s="40">
        <f>Inputs!C72</f>
        <v>74975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0.5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28511</v>
      </c>
      <c r="D34" s="207">
        <f>Inputs!D56</f>
        <v>0.4</v>
      </c>
      <c r="E34" s="88">
        <f t="shared" si="5"/>
        <v>11404.400000000001</v>
      </c>
      <c r="F34" s="113"/>
      <c r="G34" s="87"/>
      <c r="H34" s="1" t="s">
        <v>78</v>
      </c>
      <c r="I34" s="84">
        <f>SUM(I30:I33)</f>
        <v>74975</v>
      </c>
      <c r="J34" s="87"/>
    </row>
    <row r="35" spans="2:10" ht="13.9" x14ac:dyDescent="0.4">
      <c r="B35" s="3" t="s">
        <v>70</v>
      </c>
      <c r="C35" s="40">
        <f>Inputs!C57</f>
        <v>232091</v>
      </c>
      <c r="D35" s="207">
        <f>Inputs!D57</f>
        <v>0.1</v>
      </c>
      <c r="E35" s="88">
        <f t="shared" si="5"/>
        <v>23209.100000000002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0.1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116537</v>
      </c>
      <c r="D38" s="207">
        <f>Inputs!D60</f>
        <v>0.1</v>
      </c>
      <c r="E38" s="88">
        <f>C38*D38</f>
        <v>11653.7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306071</v>
      </c>
      <c r="D40" s="207">
        <f>Inputs!D62</f>
        <v>0.05</v>
      </c>
      <c r="E40" s="88">
        <f t="shared" si="5"/>
        <v>15303.550000000001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88298</v>
      </c>
      <c r="D41" s="207">
        <f>Inputs!D63</f>
        <v>0.9</v>
      </c>
      <c r="E41" s="88">
        <f t="shared" si="5"/>
        <v>79468.2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555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98517</v>
      </c>
      <c r="D44" s="62">
        <f>IF(E44=0,0,E44/C44)</f>
        <v>0.6</v>
      </c>
      <c r="E44" s="88">
        <f>SUM(E30:E31)</f>
        <v>59110.2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260602</v>
      </c>
      <c r="D45" s="62">
        <f>IF(E45=0,0,E45/C45)</f>
        <v>0.13282131372744646</v>
      </c>
      <c r="E45" s="88">
        <f>SUM(E32:E35)</f>
        <v>34613.5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116537</v>
      </c>
      <c r="D46" s="62">
        <f t="shared" ref="D46:D47" si="6">IF(E46=0,0,E46/C46)</f>
        <v>0.1</v>
      </c>
      <c r="E46" s="88">
        <f>E36+E37+E38+E39</f>
        <v>11653.7</v>
      </c>
      <c r="F46" s="87"/>
      <c r="G46" s="87"/>
      <c r="H46" s="23" t="s">
        <v>81</v>
      </c>
      <c r="I46" s="63">
        <f>(E44+E24)/E64</f>
        <v>18.457616752488843</v>
      </c>
      <c r="J46" s="8" t="str">
        <f>IF(I46&lt;1,"Liquidity Problem!","")</f>
        <v/>
      </c>
    </row>
    <row r="47" spans="2:10" ht="15" customHeight="1" x14ac:dyDescent="0.4">
      <c r="B47" s="23" t="s">
        <v>82</v>
      </c>
      <c r="C47" s="61">
        <f>C40+C41+C42</f>
        <v>394369</v>
      </c>
      <c r="D47" s="62">
        <f t="shared" si="6"/>
        <v>0.24031237242278172</v>
      </c>
      <c r="E47" s="88">
        <f>E40+E41+E42</f>
        <v>94771.75</v>
      </c>
      <c r="F47" s="87"/>
      <c r="G47" s="87"/>
      <c r="H47" s="23" t="s">
        <v>83</v>
      </c>
      <c r="I47" s="63">
        <f>(E44+E45+E24+E25)/$I$49</f>
        <v>6.5491214002722407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870025</v>
      </c>
      <c r="D48" s="82">
        <f>E48/C48</f>
        <v>0.23004988362403381</v>
      </c>
      <c r="E48" s="76">
        <f>SUM(E30:E42)</f>
        <v>200149.15000000002</v>
      </c>
      <c r="F48" s="87"/>
      <c r="G48" s="87"/>
      <c r="H48" s="80" t="s">
        <v>85</v>
      </c>
      <c r="I48" s="216">
        <f>Inputs!C75</f>
        <v>75530</v>
      </c>
      <c r="J48" s="8"/>
    </row>
    <row r="49" spans="2:11" ht="15" customHeight="1" thickTop="1" x14ac:dyDescent="0.4">
      <c r="B49" s="3" t="s">
        <v>14</v>
      </c>
      <c r="C49" s="61">
        <f>C28+C48</f>
        <v>9518344</v>
      </c>
      <c r="D49" s="56">
        <f>E49/C49</f>
        <v>0.72339328668936531</v>
      </c>
      <c r="E49" s="88">
        <f>E28+E48</f>
        <v>6885506.1500000004</v>
      </c>
      <c r="F49" s="87"/>
      <c r="G49" s="87"/>
      <c r="H49" s="3" t="s">
        <v>86</v>
      </c>
      <c r="I49" s="52">
        <f>I28+I48</f>
        <v>1035113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52">
        <f>I15+I34</f>
        <v>364125</v>
      </c>
      <c r="E56" s="25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51">
        <f>Inputs!C77</f>
        <v>0</v>
      </c>
      <c r="E57" s="25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51">
        <f>Inputs!C78</f>
        <v>0</v>
      </c>
      <c r="E58" s="25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1298925</v>
      </c>
      <c r="D61" s="56">
        <f t="shared" ref="D61:D70" si="7">IF(E61=0,0,E61/C61)</f>
        <v>0.50729918971457155</v>
      </c>
      <c r="E61" s="52">
        <f>E14+E15+(E19*G19)+(E20*G20)+E31+E32+(E35*G35)+(E36*G36)+(E37*G37)</f>
        <v>658943.59999999986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4923071</v>
      </c>
      <c r="D62" s="108">
        <f t="shared" si="7"/>
        <v>0.9</v>
      </c>
      <c r="E62" s="119">
        <f>E11+E30</f>
        <v>4430763.9000000004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6221996</v>
      </c>
      <c r="D63" s="29">
        <f t="shared" si="7"/>
        <v>0.81801844617065012</v>
      </c>
      <c r="E63" s="61">
        <f>E61+E62</f>
        <v>5089707.5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364125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5857871</v>
      </c>
      <c r="D65" s="29">
        <f t="shared" si="7"/>
        <v>0.80670648090406905</v>
      </c>
      <c r="E65" s="61">
        <f>E63-E64</f>
        <v>4725582.5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3296348</v>
      </c>
      <c r="D68" s="29">
        <f t="shared" si="7"/>
        <v>0.54478430372035969</v>
      </c>
      <c r="E68" s="68">
        <f>E49-E63</f>
        <v>1795798.6500000004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670988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2625360</v>
      </c>
      <c r="D70" s="29">
        <f t="shared" si="7"/>
        <v>0.42844053767864232</v>
      </c>
      <c r="E70" s="68">
        <f>E68-E69</f>
        <v>1124810.6500000004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5">
        <f>Data!C5</f>
        <v>45291</v>
      </c>
      <c r="D72" s="255"/>
      <c r="E72" s="253" t="s">
        <v>226</v>
      </c>
      <c r="F72" s="253"/>
      <c r="H72" s="253" t="s">
        <v>225</v>
      </c>
      <c r="I72" s="253"/>
      <c r="K72" s="50" t="s">
        <v>8</v>
      </c>
    </row>
    <row r="73" spans="1:11" ht="15" customHeight="1" x14ac:dyDescent="0.4">
      <c r="B73" s="12" t="str">
        <f>"(Numbers in "&amp;Data!C4&amp;Dashboard!G6&amp;")"</f>
        <v>(Numbers in 1000CNY)</v>
      </c>
      <c r="C73" s="254" t="s">
        <v>103</v>
      </c>
      <c r="D73" s="254"/>
      <c r="E73" s="256" t="s">
        <v>104</v>
      </c>
      <c r="F73" s="254"/>
      <c r="H73" s="256" t="s">
        <v>104</v>
      </c>
      <c r="I73" s="254"/>
      <c r="K73" s="24"/>
    </row>
    <row r="74" spans="1:11" ht="15" customHeight="1" x14ac:dyDescent="0.4">
      <c r="B74" s="3" t="s">
        <v>136</v>
      </c>
      <c r="C74" s="77">
        <f>Data!C6</f>
        <v>867764</v>
      </c>
      <c r="D74" s="218"/>
      <c r="E74" s="205">
        <f>H74</f>
        <v>867764</v>
      </c>
      <c r="F74" s="218"/>
      <c r="H74" s="205">
        <f>C74</f>
        <v>867764</v>
      </c>
      <c r="I74" s="218"/>
      <c r="K74" s="24"/>
    </row>
    <row r="75" spans="1:11" ht="15" customHeight="1" x14ac:dyDescent="0.4">
      <c r="B75" s="105" t="s">
        <v>109</v>
      </c>
      <c r="C75" s="77">
        <f>Data!C8</f>
        <v>341249</v>
      </c>
      <c r="D75" s="164">
        <f>C75/$C$74</f>
        <v>0.39325092997635303</v>
      </c>
      <c r="E75" s="186">
        <f>E74*F75</f>
        <v>341249</v>
      </c>
      <c r="F75" s="165">
        <f>I75</f>
        <v>0.39325092997635303</v>
      </c>
      <c r="H75" s="205">
        <f>D75*H74</f>
        <v>341249</v>
      </c>
      <c r="I75" s="165">
        <f>H75/$H$74</f>
        <v>0.39325092997635303</v>
      </c>
      <c r="K75" s="24"/>
    </row>
    <row r="76" spans="1:11" ht="15" customHeight="1" x14ac:dyDescent="0.4">
      <c r="B76" s="35" t="s">
        <v>96</v>
      </c>
      <c r="C76" s="166">
        <f>C74-C75</f>
        <v>526515</v>
      </c>
      <c r="D76" s="219"/>
      <c r="E76" s="167">
        <f>E74-E75</f>
        <v>526515</v>
      </c>
      <c r="F76" s="219"/>
      <c r="H76" s="167">
        <f>H74-H75</f>
        <v>526515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211098</v>
      </c>
      <c r="D77" s="164">
        <f>C77/$C$74</f>
        <v>0.24326660244029483</v>
      </c>
      <c r="E77" s="186">
        <f>E74*F77</f>
        <v>211098</v>
      </c>
      <c r="F77" s="165">
        <f>I77</f>
        <v>0.24326660244029483</v>
      </c>
      <c r="H77" s="205">
        <f>D77*H74</f>
        <v>211098</v>
      </c>
      <c r="I77" s="165">
        <f>H77/$H$74</f>
        <v>0.24326660244029483</v>
      </c>
      <c r="K77" s="24"/>
    </row>
    <row r="78" spans="1:11" ht="15" customHeight="1" x14ac:dyDescent="0.4">
      <c r="B78" s="35" t="s">
        <v>97</v>
      </c>
      <c r="C78" s="166">
        <f>C76-C77</f>
        <v>315417</v>
      </c>
      <c r="D78" s="219"/>
      <c r="E78" s="167">
        <f>E76-E77</f>
        <v>315417</v>
      </c>
      <c r="F78" s="219"/>
      <c r="H78" s="167">
        <f>H76-H77</f>
        <v>315417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8305</v>
      </c>
      <c r="D79" s="164">
        <f>C79/$C$74</f>
        <v>9.5705744879944314E-3</v>
      </c>
      <c r="E79" s="186">
        <f>E74*F79</f>
        <v>8305</v>
      </c>
      <c r="F79" s="165">
        <f t="shared" ref="F79:F84" si="8">I79</f>
        <v>9.5705744879944314E-3</v>
      </c>
      <c r="H79" s="205">
        <f>C79</f>
        <v>8305</v>
      </c>
      <c r="I79" s="165">
        <f>H79/$H$74</f>
        <v>9.5705744879944314E-3</v>
      </c>
      <c r="K79" s="24"/>
    </row>
    <row r="80" spans="1:11" ht="15" customHeight="1" x14ac:dyDescent="0.4">
      <c r="B80" s="28" t="s">
        <v>135</v>
      </c>
      <c r="C80" s="77">
        <f>MAX(Data!C14,0)+MAX(Data!C15,0)</f>
        <v>500138</v>
      </c>
      <c r="D80" s="164">
        <f>C80/$C$74</f>
        <v>0.57635255668591923</v>
      </c>
      <c r="E80" s="186">
        <f>E74*F80</f>
        <v>500138</v>
      </c>
      <c r="F80" s="165">
        <f t="shared" si="8"/>
        <v>0.57635255668591923</v>
      </c>
      <c r="H80" s="205">
        <f>H74*D80</f>
        <v>500138</v>
      </c>
      <c r="I80" s="165">
        <f>H80/$H$74</f>
        <v>0.57635255668591923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2058</v>
      </c>
      <c r="D82" s="164">
        <f>C82/$C$74</f>
        <v>2.3716125582531654E-3</v>
      </c>
      <c r="E82" s="186">
        <f>E74*F82</f>
        <v>2058</v>
      </c>
      <c r="F82" s="165">
        <f t="shared" si="8"/>
        <v>2.3716125582531654E-3</v>
      </c>
      <c r="H82" s="205">
        <f>H74*D82</f>
        <v>2058</v>
      </c>
      <c r="I82" s="165">
        <f>H82/$H$74</f>
        <v>2.3716125582531654E-3</v>
      </c>
      <c r="K82" s="24"/>
    </row>
    <row r="83" spans="1:11" ht="15" customHeight="1" thickBot="1" x14ac:dyDescent="0.45">
      <c r="B83" s="106" t="s">
        <v>134</v>
      </c>
      <c r="C83" s="168">
        <f>C78-C79-C80-C81-C82</f>
        <v>-195084</v>
      </c>
      <c r="D83" s="169">
        <f>C83/$C$74</f>
        <v>-0.22481227614881466</v>
      </c>
      <c r="E83" s="170">
        <f>E78-E79-E80-E81-E82</f>
        <v>-195084</v>
      </c>
      <c r="F83" s="169">
        <f>E83/E74</f>
        <v>-0.22481227614881466</v>
      </c>
      <c r="H83" s="170">
        <f>H78-H79-H80-H81-H82</f>
        <v>-195084</v>
      </c>
      <c r="I83" s="169">
        <f>H83/$H$74</f>
        <v>-0.22481227614881466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0.25</v>
      </c>
      <c r="E84" s="221"/>
      <c r="F84" s="185">
        <f t="shared" si="8"/>
        <v>0.25</v>
      </c>
      <c r="H84" s="221"/>
      <c r="I84" s="211">
        <f>Inputs!C16</f>
        <v>0.25</v>
      </c>
      <c r="K84" s="24"/>
    </row>
    <row r="85" spans="1:11" ht="15" customHeight="1" x14ac:dyDescent="0.4">
      <c r="B85" s="86" t="s">
        <v>176</v>
      </c>
      <c r="C85" s="166">
        <f>C83*(1-I84)</f>
        <v>-146313</v>
      </c>
      <c r="D85" s="171">
        <f>C85/$C$74</f>
        <v>-0.16860920711161098</v>
      </c>
      <c r="E85" s="172">
        <f>E83*(1-F84)</f>
        <v>-146313</v>
      </c>
      <c r="F85" s="171">
        <f>E85/E74</f>
        <v>-0.16860920711161098</v>
      </c>
      <c r="H85" s="172">
        <f>H83*(1-I84)</f>
        <v>-146313</v>
      </c>
      <c r="I85" s="171">
        <f>H85/$H$74</f>
        <v>-0.16860920711161098</v>
      </c>
      <c r="K85" s="24"/>
    </row>
    <row r="86" spans="1:11" ht="15" customHeight="1" x14ac:dyDescent="0.4">
      <c r="B86" s="87" t="s">
        <v>172</v>
      </c>
      <c r="C86" s="173">
        <f>C85*Data!C4/Common_Shares</f>
        <v>-6.4032397307676847E-2</v>
      </c>
      <c r="D86" s="218"/>
      <c r="E86" s="174">
        <f>E85*Data!C4/Common_Shares</f>
        <v>-6.4032397307676847E-2</v>
      </c>
      <c r="F86" s="218"/>
      <c r="H86" s="174">
        <f>H85*Data!C4/Common_Shares</f>
        <v>-6.4032397307676847E-2</v>
      </c>
      <c r="I86" s="218"/>
      <c r="K86" s="24"/>
    </row>
    <row r="87" spans="1:11" ht="15" customHeight="1" x14ac:dyDescent="0.4">
      <c r="B87" s="87" t="s">
        <v>228</v>
      </c>
      <c r="C87" s="165">
        <f>C86*Exchange_Rate/Dashboard!G3</f>
        <v>-3.9710291673058125E-2</v>
      </c>
      <c r="D87" s="218"/>
      <c r="E87" s="239">
        <f>E86*Exchange_Rate/Dashboard!G3</f>
        <v>-3.9710291673058125E-2</v>
      </c>
      <c r="F87" s="218"/>
      <c r="H87" s="239">
        <f>H86*Exchange_Rate/Dashboard!G3</f>
        <v>-3.9710291673058125E-2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0.1</v>
      </c>
      <c r="D88" s="171">
        <f>C88/C86</f>
        <v>-1.5617094502880811</v>
      </c>
      <c r="E88" s="204">
        <f>H88</f>
        <v>0.1</v>
      </c>
      <c r="F88" s="171">
        <f>E88/E86</f>
        <v>-1.5617094502880811</v>
      </c>
      <c r="H88" s="176">
        <f>Inputs!F6</f>
        <v>0.1</v>
      </c>
      <c r="I88" s="171">
        <f>H88/H86</f>
        <v>-1.5617094502880811</v>
      </c>
      <c r="K88" s="24"/>
    </row>
    <row r="89" spans="1:11" ht="15" customHeight="1" x14ac:dyDescent="0.4">
      <c r="B89" s="87" t="s">
        <v>249</v>
      </c>
      <c r="C89" s="165">
        <f>C88*Exchange_Rate/Dashboard!G3</f>
        <v>6.2015937779510956E-2</v>
      </c>
      <c r="D89" s="218"/>
      <c r="E89" s="165">
        <f>E88*Exchange_Rate/Dashboard!G3</f>
        <v>6.2015937779510956E-2</v>
      </c>
      <c r="F89" s="218"/>
      <c r="H89" s="165">
        <f>H88*Exchange_Rate/Dashboard!G3</f>
        <v>6.2015937779510956E-2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CN</v>
      </c>
      <c r="D92" s="10" t="s">
        <v>168</v>
      </c>
      <c r="E92" s="253" t="s">
        <v>226</v>
      </c>
      <c r="F92" s="253"/>
      <c r="G92" s="87"/>
      <c r="H92" s="253" t="s">
        <v>225</v>
      </c>
      <c r="I92" s="253"/>
      <c r="K92" s="24"/>
    </row>
    <row r="93" spans="1:11" ht="15" customHeight="1" x14ac:dyDescent="0.4">
      <c r="B93" s="1" t="str">
        <f>C92&amp;" Required Return"</f>
        <v>CN Required Return</v>
      </c>
      <c r="C93" s="137">
        <f>IF(C92="CN",Dashboard!C17,IF(C92="US",Dashboard!C12,IF(C92="HK",Dashboard!D12,Dashboard!D17)))</f>
        <v>7.1999999999999995E-2</v>
      </c>
      <c r="D93" s="206">
        <v>5</v>
      </c>
      <c r="E93" s="87" t="s">
        <v>229</v>
      </c>
      <c r="F93" s="146">
        <f>FV(E87,D93,0,-(E86/C93))</f>
        <v>-0.72623744492770492</v>
      </c>
      <c r="H93" s="87" t="s">
        <v>229</v>
      </c>
      <c r="I93" s="146">
        <f>FV(H87,D93,0,-(H86/C93))</f>
        <v>-0.72623744492770492</v>
      </c>
      <c r="K93" s="24"/>
    </row>
    <row r="94" spans="1:11" ht="15" customHeight="1" x14ac:dyDescent="0.4">
      <c r="B94" s="1" t="s">
        <v>231</v>
      </c>
      <c r="C94" s="188">
        <f>Dashboard!G20</f>
        <v>0.15</v>
      </c>
      <c r="D94" s="147"/>
      <c r="E94" s="87" t="s">
        <v>230</v>
      </c>
      <c r="F94" s="146">
        <f>FV(E89,D93,0,-(E88/C93))</f>
        <v>1.876388121791863</v>
      </c>
      <c r="H94" s="87" t="s">
        <v>230</v>
      </c>
      <c r="I94" s="146">
        <f>FV(H89,D93,0,-(H88/C93))</f>
        <v>1.876388121791863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234</v>
      </c>
      <c r="F96" s="189" t="str">
        <f>E72</f>
        <v>Pessimistic Case</v>
      </c>
      <c r="H96" s="189" t="str">
        <f>H72</f>
        <v>Base Case</v>
      </c>
      <c r="I96" s="125" t="s">
        <v>233</v>
      </c>
      <c r="K96" s="24"/>
    </row>
    <row r="97" spans="2:11" ht="15" customHeight="1" x14ac:dyDescent="0.4">
      <c r="B97" s="1" t="s">
        <v>140</v>
      </c>
      <c r="C97" s="91">
        <f>H97*Common_Shares/Data!C4</f>
        <v>-1264854.0921110648</v>
      </c>
      <c r="E97" s="124">
        <f>PV(C94,D93,0,-F93)*Exchange_Rate</f>
        <v>-0.38962068150150009</v>
      </c>
      <c r="F97" s="124">
        <f>PV(C93,D93,0,-F93)*Exchange_Rate</f>
        <v>-0.55355053728852932</v>
      </c>
      <c r="H97" s="124">
        <f>PV(C93,D93,0,-I93)*Exchange_Rate</f>
        <v>-0.55355053728852932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5099268.9150283728</v>
      </c>
      <c r="E99" s="223"/>
      <c r="F99" s="148">
        <f>H99*0.85</f>
        <v>1.8968967294356311</v>
      </c>
      <c r="H99" s="148">
        <f>C99*Data!$C$4/Common_Shares</f>
        <v>2.2316432111007427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3834414.8229173077</v>
      </c>
      <c r="E100" s="110">
        <f>MAX(E97-H98+F99,0)</f>
        <v>1.5072760479341309</v>
      </c>
      <c r="F100" s="110">
        <f>MAX(F97-H98+F99,0)</f>
        <v>1.3433461921471017</v>
      </c>
      <c r="H100" s="110">
        <f>MAX(C100*Data!$C$4/Common_Shares,0)</f>
        <v>1.6780926738122135</v>
      </c>
      <c r="I100" s="110">
        <f>H100*1.25</f>
        <v>2.0976158422652667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234</v>
      </c>
      <c r="F102" s="189" t="str">
        <f>F96</f>
        <v>Pessimistic Case</v>
      </c>
      <c r="H102" s="189" t="str">
        <f>H96</f>
        <v>Base Case</v>
      </c>
      <c r="I102" s="125" t="s">
        <v>233</v>
      </c>
      <c r="K102" s="24"/>
    </row>
    <row r="103" spans="2:11" ht="15" customHeight="1" x14ac:dyDescent="0.4">
      <c r="B103" s="1" t="s">
        <v>173</v>
      </c>
      <c r="C103" s="91">
        <f>H103*Common_Shares/Data!C4</f>
        <v>3268018.2092143358</v>
      </c>
      <c r="E103" s="110">
        <f>PV(C94,D93,0,-F94)*Exchange_Rate</f>
        <v>1.0066674802848294</v>
      </c>
      <c r="F103" s="124">
        <f>PV(C93,D93,0,-F94)*Exchange_Rate</f>
        <v>1.4302149527460646</v>
      </c>
      <c r="H103" s="124">
        <f>PV(C93,D93,0,-I94)*Exchange_Rate</f>
        <v>1.4302149527460646</v>
      </c>
      <c r="I103" s="110">
        <f>H103*1.25</f>
        <v>1.7877686909325807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234</v>
      </c>
      <c r="F105" s="190" t="s">
        <v>224</v>
      </c>
      <c r="H105" s="190" t="s">
        <v>224</v>
      </c>
      <c r="I105" s="125" t="s">
        <v>233</v>
      </c>
      <c r="K105" s="24"/>
    </row>
    <row r="106" spans="2:11" ht="15" customHeight="1" x14ac:dyDescent="0.4">
      <c r="B106" s="1" t="s">
        <v>215</v>
      </c>
      <c r="C106" s="91">
        <f>F106*Common_Shares/Data!C4</f>
        <v>3168771.3474386935</v>
      </c>
      <c r="E106" s="110">
        <f>(E100+E103)/2</f>
        <v>1.2569717641094802</v>
      </c>
      <c r="F106" s="124">
        <f>(F100+F103)/2</f>
        <v>1.3867805724465831</v>
      </c>
      <c r="H106" s="124">
        <f>(H100+H103)/2</f>
        <v>1.554153813279139</v>
      </c>
      <c r="I106" s="110">
        <f>H106*1.25</f>
        <v>1.9426922665989239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248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2024-11-13T16:10:23Z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